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charts/chart2.xml" ContentType="application/vnd.openxmlformats-officedocument.drawingml.chart+xml"/>
  <Override PartName="/xl/drawings/drawing6.xml" ContentType="application/vnd.openxmlformats-officedocument.drawingml.chartshapes+xml"/>
  <Override PartName="/xl/charts/chart3.xml" ContentType="application/vnd.openxmlformats-officedocument.drawingml.chart+xml"/>
  <Override PartName="/xl/drawings/drawing7.xml" ContentType="application/vnd.openxmlformats-officedocument.drawingml.chartshapes+xml"/>
  <Override PartName="/xl/charts/chart4.xml" ContentType="application/vnd.openxmlformats-officedocument.drawingml.chart+xml"/>
  <Override PartName="/xl/drawings/drawing8.xml" ContentType="application/vnd.openxmlformats-officedocument.drawingml.chartshapes+xml"/>
  <Override PartName="/xl/charts/chart5.xml" ContentType="application/vnd.openxmlformats-officedocument.drawingml.chart+xml"/>
  <Override PartName="/xl/drawings/drawing9.xml" ContentType="application/vnd.openxmlformats-officedocument.drawingml.chartshapes+xml"/>
  <Override PartName="/xl/charts/chart6.xml" ContentType="application/vnd.openxmlformats-officedocument.drawingml.chart+xml"/>
  <Override PartName="/xl/drawings/drawing10.xml" ContentType="application/vnd.openxmlformats-officedocument.drawingml.chartshapes+xml"/>
  <Override PartName="/xl/charts/chart7.xml" ContentType="application/vnd.openxmlformats-officedocument.drawingml.chart+xml"/>
  <Override PartName="/xl/drawings/drawing11.xml" ContentType="application/vnd.openxmlformats-officedocument.drawingml.chartshapes+xml"/>
  <Override PartName="/xl/charts/chart8.xml" ContentType="application/vnd.openxmlformats-officedocument.drawingml.chart+xml"/>
  <Override PartName="/xl/drawings/drawing12.xml" ContentType="application/vnd.openxmlformats-officedocument.drawingml.chartshapes+xml"/>
  <Override PartName="/xl/charts/chart9.xml" ContentType="application/vnd.openxmlformats-officedocument.drawingml.chart+xml"/>
  <Override PartName="/xl/drawings/drawing13.xml" ContentType="application/vnd.openxmlformats-officedocument.drawingml.chartshapes+xml"/>
  <Override PartName="/xl/charts/chart10.xml" ContentType="application/vnd.openxmlformats-officedocument.drawingml.chart+xml"/>
  <Override PartName="/xl/drawings/drawing14.xml" ContentType="application/vnd.openxmlformats-officedocument.drawingml.chartshapes+xml"/>
  <Override PartName="/xl/charts/chart11.xml" ContentType="application/vnd.openxmlformats-officedocument.drawingml.chart+xml"/>
  <Override PartName="/xl/drawings/drawing15.xml" ContentType="application/vnd.openxmlformats-officedocument.drawingml.chartshapes+xml"/>
  <Override PartName="/xl/charts/chart12.xml" ContentType="application/vnd.openxmlformats-officedocument.drawingml.chart+xml"/>
  <Override PartName="/xl/drawings/drawing16.xml" ContentType="application/vnd.openxmlformats-officedocument.drawingml.chartshapes+xml"/>
  <Override PartName="/xl/charts/chart13.xml" ContentType="application/vnd.openxmlformats-officedocument.drawingml.chart+xml"/>
  <Override PartName="/xl/drawings/drawing17.xml" ContentType="application/vnd.openxmlformats-officedocument.drawingml.chartshapes+xml"/>
  <Override PartName="/xl/charts/chart14.xml" ContentType="application/vnd.openxmlformats-officedocument.drawingml.chart+xml"/>
  <Override PartName="/xl/drawings/drawing18.xml" ContentType="application/vnd.openxmlformats-officedocument.drawingml.chartshapes+xml"/>
  <Override PartName="/xl/charts/chart15.xml" ContentType="application/vnd.openxmlformats-officedocument.drawingml.chart+xml"/>
  <Override PartName="/xl/drawings/drawing19.xml" ContentType="application/vnd.openxmlformats-officedocument.drawingml.chartshapes+xml"/>
  <Override PartName="/xl/charts/chart16.xml" ContentType="application/vnd.openxmlformats-officedocument.drawingml.chart+xml"/>
  <Override PartName="/xl/drawings/drawing20.xml" ContentType="application/vnd.openxmlformats-officedocument.drawingml.chartshapes+xml"/>
  <Override PartName="/xl/charts/chart17.xml" ContentType="application/vnd.openxmlformats-officedocument.drawingml.chart+xml"/>
  <Override PartName="/xl/drawings/drawing21.xml" ContentType="application/vnd.openxmlformats-officedocument.drawingml.chartshapes+xml"/>
  <Override PartName="/xl/charts/chart18.xml" ContentType="application/vnd.openxmlformats-officedocument.drawingml.chart+xml"/>
  <Override PartName="/xl/drawings/drawing22.xml" ContentType="application/vnd.openxmlformats-officedocument.drawingml.chartshapes+xml"/>
  <Override PartName="/xl/charts/chart19.xml" ContentType="application/vnd.openxmlformats-officedocument.drawingml.chart+xml"/>
  <Override PartName="/xl/drawings/drawing23.xml" ContentType="application/vnd.openxmlformats-officedocument.drawingml.chartshapes+xml"/>
  <Override PartName="/xl/charts/chart20.xml" ContentType="application/vnd.openxmlformats-officedocument.drawingml.chart+xml"/>
  <Override PartName="/xl/drawings/drawing24.xml" ContentType="application/vnd.openxmlformats-officedocument.drawingml.chartshapes+xml"/>
  <Override PartName="/xl/charts/chart21.xml" ContentType="application/vnd.openxmlformats-officedocument.drawingml.chart+xml"/>
  <Override PartName="/xl/drawings/drawing25.xml" ContentType="application/vnd.openxmlformats-officedocument.drawingml.chartshapes+xml"/>
  <Override PartName="/xl/charts/chart22.xml" ContentType="application/vnd.openxmlformats-officedocument.drawingml.chart+xml"/>
  <Override PartName="/xl/drawings/drawing26.xml" ContentType="application/vnd.openxmlformats-officedocument.drawingml.chartshapes+xml"/>
  <Override PartName="/xl/charts/chart23.xml" ContentType="application/vnd.openxmlformats-officedocument.drawingml.chart+xml"/>
  <Override PartName="/xl/drawings/drawing27.xml" ContentType="application/vnd.openxmlformats-officedocument.drawingml.chartshapes+xml"/>
  <Override PartName="/xl/charts/chart24.xml" ContentType="application/vnd.openxmlformats-officedocument.drawingml.chart+xml"/>
  <Override PartName="/xl/drawings/drawing28.xml" ContentType="application/vnd.openxmlformats-officedocument.drawingml.chartshapes+xml"/>
  <Override PartName="/xl/charts/chart25.xml" ContentType="application/vnd.openxmlformats-officedocument.drawingml.chart+xml"/>
  <Override PartName="/xl/drawings/drawing29.xml" ContentType="application/vnd.openxmlformats-officedocument.drawingml.chartshapes+xml"/>
  <Override PartName="/xl/charts/chart26.xml" ContentType="application/vnd.openxmlformats-officedocument.drawingml.chart+xml"/>
  <Override PartName="/xl/drawings/drawing30.xml" ContentType="application/vnd.openxmlformats-officedocument.drawingml.chartshapes+xml"/>
  <Override PartName="/xl/charts/chart27.xml" ContentType="application/vnd.openxmlformats-officedocument.drawingml.chart+xml"/>
  <Override PartName="/xl/drawings/drawing31.xml" ContentType="application/vnd.openxmlformats-officedocument.drawingml.chartshapes+xml"/>
  <Override PartName="/xl/charts/chart28.xml" ContentType="application/vnd.openxmlformats-officedocument.drawingml.chart+xml"/>
  <Override PartName="/xl/drawings/drawing32.xml" ContentType="application/vnd.openxmlformats-officedocument.drawingml.chartshapes+xml"/>
  <Override PartName="/xl/charts/chart29.xml" ContentType="application/vnd.openxmlformats-officedocument.drawingml.chart+xml"/>
  <Override PartName="/xl/drawings/drawing33.xml" ContentType="application/vnd.openxmlformats-officedocument.drawingml.chartshapes+xml"/>
  <Override PartName="/xl/charts/chart30.xml" ContentType="application/vnd.openxmlformats-officedocument.drawingml.chart+xml"/>
  <Override PartName="/xl/drawings/drawing34.xml" ContentType="application/vnd.openxmlformats-officedocument.drawingml.chartshapes+xml"/>
  <Override PartName="/xl/charts/chart31.xml" ContentType="application/vnd.openxmlformats-officedocument.drawingml.chart+xml"/>
  <Override PartName="/xl/drawings/drawing35.xml" ContentType="application/vnd.openxmlformats-officedocument.drawingml.chartshapes+xml"/>
  <Override PartName="/xl/charts/chart32.xml" ContentType="application/vnd.openxmlformats-officedocument.drawingml.chart+xml"/>
  <Override PartName="/xl/drawings/drawing36.xml" ContentType="application/vnd.openxmlformats-officedocument.drawingml.chartshapes+xml"/>
  <Override PartName="/xl/charts/chart33.xml" ContentType="application/vnd.openxmlformats-officedocument.drawingml.chart+xml"/>
  <Override PartName="/xl/drawings/drawing37.xml" ContentType="application/vnd.openxmlformats-officedocument.drawingml.chartshapes+xml"/>
  <Override PartName="/xl/charts/chart34.xml" ContentType="application/vnd.openxmlformats-officedocument.drawingml.chart+xml"/>
  <Override PartName="/xl/drawings/drawing38.xml" ContentType="application/vnd.openxmlformats-officedocument.drawingml.chartshapes+xml"/>
  <Override PartName="/xl/charts/chart35.xml" ContentType="application/vnd.openxmlformats-officedocument.drawingml.chart+xml"/>
  <Override PartName="/xl/drawings/drawing39.xml" ContentType="application/vnd.openxmlformats-officedocument.drawingml.chartshapes+xml"/>
  <Override PartName="/xl/charts/chart36.xml" ContentType="application/vnd.openxmlformats-officedocument.drawingml.chart+xml"/>
  <Override PartName="/xl/drawings/drawing40.xml" ContentType="application/vnd.openxmlformats-officedocument.drawingml.chartshapes+xml"/>
  <Override PartName="/xl/charts/chart37.xml" ContentType="application/vnd.openxmlformats-officedocument.drawingml.chart+xml"/>
  <Override PartName="/xl/drawings/drawing41.xml" ContentType="application/vnd.openxmlformats-officedocument.drawingml.chartshapes+xml"/>
  <Override PartName="/xl/charts/chart38.xml" ContentType="application/vnd.openxmlformats-officedocument.drawingml.chart+xml"/>
  <Override PartName="/xl/drawings/drawing42.xml" ContentType="application/vnd.openxmlformats-officedocument.drawingml.chartshapes+xml"/>
  <Override PartName="/xl/charts/chart39.xml" ContentType="application/vnd.openxmlformats-officedocument.drawingml.chart+xml"/>
  <Override PartName="/xl/drawings/drawing43.xml" ContentType="application/vnd.openxmlformats-officedocument.drawingml.chartshapes+xml"/>
  <Override PartName="/xl/charts/chart40.xml" ContentType="application/vnd.openxmlformats-officedocument.drawingml.chart+xml"/>
  <Override PartName="/xl/drawings/drawing44.xml" ContentType="application/vnd.openxmlformats-officedocument.drawingml.chartshapes+xml"/>
  <Override PartName="/xl/charts/chart41.xml" ContentType="application/vnd.openxmlformats-officedocument.drawingml.chart+xml"/>
  <Override PartName="/xl/drawings/drawing45.xml" ContentType="application/vnd.openxmlformats-officedocument.drawingml.chartshapes+xml"/>
  <Override PartName="/xl/charts/chart42.xml" ContentType="application/vnd.openxmlformats-officedocument.drawingml.chart+xml"/>
  <Override PartName="/xl/drawings/drawing46.xml" ContentType="application/vnd.openxmlformats-officedocument.drawingml.chartshapes+xml"/>
  <Override PartName="/xl/charts/chart43.xml" ContentType="application/vnd.openxmlformats-officedocument.drawingml.chart+xml"/>
  <Override PartName="/xl/drawings/drawing47.xml" ContentType="application/vnd.openxmlformats-officedocument.drawingml.chartshapes+xml"/>
  <Override PartName="/xl/charts/chart44.xml" ContentType="application/vnd.openxmlformats-officedocument.drawingml.chart+xml"/>
  <Override PartName="/xl/drawings/drawing48.xml" ContentType="application/vnd.openxmlformats-officedocument.drawingml.chartshapes+xml"/>
  <Override PartName="/xl/charts/chart45.xml" ContentType="application/vnd.openxmlformats-officedocument.drawingml.chart+xml"/>
  <Override PartName="/xl/drawings/drawing49.xml" ContentType="application/vnd.openxmlformats-officedocument.drawingml.chartshapes+xml"/>
  <Override PartName="/xl/charts/chart46.xml" ContentType="application/vnd.openxmlformats-officedocument.drawingml.chart+xml"/>
  <Override PartName="/xl/drawings/drawing50.xml" ContentType="application/vnd.openxmlformats-officedocument.drawingml.chartshapes+xml"/>
  <Override PartName="/xl/charts/chart47.xml" ContentType="application/vnd.openxmlformats-officedocument.drawingml.chart+xml"/>
  <Override PartName="/xl/drawings/drawing51.xml" ContentType="application/vnd.openxmlformats-officedocument.drawingml.chartshapes+xml"/>
  <Override PartName="/xl/charts/chart48.xml" ContentType="application/vnd.openxmlformats-officedocument.drawingml.chart+xml"/>
  <Override PartName="/xl/drawings/drawing52.xml" ContentType="application/vnd.openxmlformats-officedocument.drawingml.chartshapes+xml"/>
  <Override PartName="/xl/charts/chart49.xml" ContentType="application/vnd.openxmlformats-officedocument.drawingml.chart+xml"/>
  <Override PartName="/xl/drawings/drawing53.xml" ContentType="application/vnd.openxmlformats-officedocument.drawingml.chartshapes+xml"/>
  <Override PartName="/xl/charts/chart50.xml" ContentType="application/vnd.openxmlformats-officedocument.drawingml.chart+xml"/>
  <Override PartName="/xl/drawings/drawing54.xml" ContentType="application/vnd.openxmlformats-officedocument.drawingml.chartshapes+xml"/>
  <Override PartName="/xl/charts/chart51.xml" ContentType="application/vnd.openxmlformats-officedocument.drawingml.chart+xml"/>
  <Override PartName="/xl/drawings/drawing55.xml" ContentType="application/vnd.openxmlformats-officedocument.drawingml.chartshapes+xml"/>
  <Override PartName="/xl/charts/chart52.xml" ContentType="application/vnd.openxmlformats-officedocument.drawingml.chart+xml"/>
  <Override PartName="/xl/drawings/drawing56.xml" ContentType="application/vnd.openxmlformats-officedocument.drawingml.chartshapes+xml"/>
  <Override PartName="/xl/charts/chart53.xml" ContentType="application/vnd.openxmlformats-officedocument.drawingml.chart+xml"/>
  <Override PartName="/xl/drawings/drawing57.xml" ContentType="application/vnd.openxmlformats-officedocument.drawingml.chartshapes+xml"/>
  <Override PartName="/xl/charts/chart54.xml" ContentType="application/vnd.openxmlformats-officedocument.drawingml.chart+xml"/>
  <Override PartName="/xl/drawings/drawing58.xml" ContentType="application/vnd.openxmlformats-officedocument.drawingml.chartshapes+xml"/>
  <Override PartName="/xl/charts/chart55.xml" ContentType="application/vnd.openxmlformats-officedocument.drawingml.chart+xml"/>
  <Override PartName="/xl/drawings/drawing59.xml" ContentType="application/vnd.openxmlformats-officedocument.drawingml.chartshapes+xml"/>
  <Override PartName="/xl/charts/chart56.xml" ContentType="application/vnd.openxmlformats-officedocument.drawingml.chart+xml"/>
  <Override PartName="/xl/drawings/drawing60.xml" ContentType="application/vnd.openxmlformats-officedocument.drawingml.chartshapes+xml"/>
  <Override PartName="/xl/charts/chart57.xml" ContentType="application/vnd.openxmlformats-officedocument.drawingml.chart+xml"/>
  <Override PartName="/xl/drawings/drawing61.xml" ContentType="application/vnd.openxmlformats-officedocument.drawingml.chartshapes+xml"/>
  <Override PartName="/xl/charts/chart58.xml" ContentType="application/vnd.openxmlformats-officedocument.drawingml.chart+xml"/>
  <Override PartName="/xl/drawings/drawing62.xml" ContentType="application/vnd.openxmlformats-officedocument.drawingml.chartshapes+xml"/>
  <Override PartName="/xl/charts/chart59.xml" ContentType="application/vnd.openxmlformats-officedocument.drawingml.chart+xml"/>
  <Override PartName="/xl/drawings/drawing63.xml" ContentType="application/vnd.openxmlformats-officedocument.drawingml.chartshapes+xml"/>
  <Override PartName="/xl/charts/chart60.xml" ContentType="application/vnd.openxmlformats-officedocument.drawingml.chart+xml"/>
  <Override PartName="/xl/drawings/drawing64.xml" ContentType="application/vnd.openxmlformats-officedocument.drawingml.chartshapes+xml"/>
  <Override PartName="/xl/charts/chart61.xml" ContentType="application/vnd.openxmlformats-officedocument.drawingml.chart+xml"/>
  <Override PartName="/xl/drawings/drawing65.xml" ContentType="application/vnd.openxmlformats-officedocument.drawingml.chartshapes+xml"/>
  <Override PartName="/xl/charts/chart62.xml" ContentType="application/vnd.openxmlformats-officedocument.drawingml.chart+xml"/>
  <Override PartName="/xl/drawings/drawing66.xml" ContentType="application/vnd.openxmlformats-officedocument.drawingml.chartshapes+xml"/>
  <Override PartName="/xl/charts/chart63.xml" ContentType="application/vnd.openxmlformats-officedocument.drawingml.chart+xml"/>
  <Override PartName="/xl/drawings/drawing67.xml" ContentType="application/vnd.openxmlformats-officedocument.drawingml.chartshapes+xml"/>
  <Override PartName="/xl/charts/chart64.xml" ContentType="application/vnd.openxmlformats-officedocument.drawingml.chart+xml"/>
  <Override PartName="/xl/drawings/drawing68.xml" ContentType="application/vnd.openxmlformats-officedocument.drawingml.chartshapes+xml"/>
  <Override PartName="/xl/charts/chart65.xml" ContentType="application/vnd.openxmlformats-officedocument.drawingml.chart+xml"/>
  <Override PartName="/xl/drawings/drawing69.xml" ContentType="application/vnd.openxmlformats-officedocument.drawingml.chartshapes+xml"/>
  <Override PartName="/xl/charts/chart66.xml" ContentType="application/vnd.openxmlformats-officedocument.drawingml.chart+xml"/>
  <Override PartName="/xl/drawings/drawing70.xml" ContentType="application/vnd.openxmlformats-officedocument.drawingml.chartshapes+xml"/>
  <Override PartName="/xl/charts/chart67.xml" ContentType="application/vnd.openxmlformats-officedocument.drawingml.chart+xml"/>
  <Override PartName="/xl/drawings/drawing71.xml" ContentType="application/vnd.openxmlformats-officedocument.drawingml.chartshapes+xml"/>
  <Override PartName="/xl/charts/chart68.xml" ContentType="application/vnd.openxmlformats-officedocument.drawingml.chart+xml"/>
  <Override PartName="/xl/drawings/drawing72.xml" ContentType="application/vnd.openxmlformats-officedocument.drawingml.chartshapes+xml"/>
  <Override PartName="/xl/charts/chart69.xml" ContentType="application/vnd.openxmlformats-officedocument.drawingml.chart+xml"/>
  <Override PartName="/xl/drawings/drawing73.xml" ContentType="application/vnd.openxmlformats-officedocument.drawingml.chartshapes+xml"/>
  <Override PartName="/xl/charts/chart70.xml" ContentType="application/vnd.openxmlformats-officedocument.drawingml.chart+xml"/>
  <Override PartName="/xl/drawings/drawing74.xml" ContentType="application/vnd.openxmlformats-officedocument.drawingml.chartshapes+xml"/>
  <Override PartName="/xl/charts/chart71.xml" ContentType="application/vnd.openxmlformats-officedocument.drawingml.chart+xml"/>
  <Override PartName="/xl/drawings/drawing75.xml" ContentType="application/vnd.openxmlformats-officedocument.drawingml.chartshapes+xml"/>
  <Override PartName="/xl/drawings/drawing76.xml" ContentType="application/vnd.openxmlformats-officedocument.drawing+xml"/>
  <Override PartName="/xl/charts/chart72.xml" ContentType="application/vnd.openxmlformats-officedocument.drawingml.chart+xml"/>
  <Override PartName="/xl/drawings/drawing77.xml" ContentType="application/vnd.openxmlformats-officedocument.drawingml.chartshapes+xml"/>
  <Override PartName="/xl/charts/chart73.xml" ContentType="application/vnd.openxmlformats-officedocument.drawingml.chart+xml"/>
  <Override PartName="/xl/drawings/drawing78.xml" ContentType="application/vnd.openxmlformats-officedocument.drawingml.chartshapes+xml"/>
  <Override PartName="/xl/charts/chart74.xml" ContentType="application/vnd.openxmlformats-officedocument.drawingml.chart+xml"/>
  <Override PartName="/xl/drawings/drawing79.xml" ContentType="application/vnd.openxmlformats-officedocument.drawingml.chartshapes+xml"/>
  <Override PartName="/xl/charts/chart75.xml" ContentType="application/vnd.openxmlformats-officedocument.drawingml.chart+xml"/>
  <Override PartName="/xl/drawings/drawing80.xml" ContentType="application/vnd.openxmlformats-officedocument.drawingml.chartshapes+xml"/>
  <Override PartName="/xl/charts/chart76.xml" ContentType="application/vnd.openxmlformats-officedocument.drawingml.chart+xml"/>
  <Override PartName="/xl/drawings/drawing81.xml" ContentType="application/vnd.openxmlformats-officedocument.drawingml.chartshapes+xml"/>
  <Override PartName="/xl/charts/chart77.xml" ContentType="application/vnd.openxmlformats-officedocument.drawingml.chart+xml"/>
  <Override PartName="/xl/drawings/drawing82.xml" ContentType="application/vnd.openxmlformats-officedocument.drawingml.chartshapes+xml"/>
  <Override PartName="/xl/charts/chart78.xml" ContentType="application/vnd.openxmlformats-officedocument.drawingml.chart+xml"/>
  <Override PartName="/xl/drawings/drawing83.xml" ContentType="application/vnd.openxmlformats-officedocument.drawingml.chartshapes+xml"/>
  <Override PartName="/xl/charts/chart79.xml" ContentType="application/vnd.openxmlformats-officedocument.drawingml.chart+xml"/>
  <Override PartName="/xl/drawings/drawing84.xml" ContentType="application/vnd.openxmlformats-officedocument.drawingml.chartshapes+xml"/>
  <Override PartName="/xl/charts/chart80.xml" ContentType="application/vnd.openxmlformats-officedocument.drawingml.chart+xml"/>
  <Override PartName="/xl/drawings/drawing85.xml" ContentType="application/vnd.openxmlformats-officedocument.drawingml.chartshapes+xml"/>
  <Override PartName="/xl/charts/chart81.xml" ContentType="application/vnd.openxmlformats-officedocument.drawingml.chart+xml"/>
  <Override PartName="/xl/drawings/drawing86.xml" ContentType="application/vnd.openxmlformats-officedocument.drawingml.chartshapes+xml"/>
  <Override PartName="/xl/charts/chart82.xml" ContentType="application/vnd.openxmlformats-officedocument.drawingml.chart+xml"/>
  <Override PartName="/xl/drawings/drawing87.xml" ContentType="application/vnd.openxmlformats-officedocument.drawingml.chartshapes+xml"/>
  <Override PartName="/xl/charts/chart83.xml" ContentType="application/vnd.openxmlformats-officedocument.drawingml.chart+xml"/>
  <Override PartName="/xl/drawings/drawing88.xml" ContentType="application/vnd.openxmlformats-officedocument.drawingml.chartshapes+xml"/>
  <Override PartName="/xl/charts/chart84.xml" ContentType="application/vnd.openxmlformats-officedocument.drawingml.chart+xml"/>
  <Override PartName="/xl/drawings/drawing89.xml" ContentType="application/vnd.openxmlformats-officedocument.drawingml.chartshapes+xml"/>
  <Override PartName="/xl/charts/chart85.xml" ContentType="application/vnd.openxmlformats-officedocument.drawingml.chart+xml"/>
  <Override PartName="/xl/drawings/drawing90.xml" ContentType="application/vnd.openxmlformats-officedocument.drawingml.chartshapes+xml"/>
  <Override PartName="/xl/charts/chart86.xml" ContentType="application/vnd.openxmlformats-officedocument.drawingml.chart+xml"/>
  <Override PartName="/xl/drawings/drawing91.xml" ContentType="application/vnd.openxmlformats-officedocument.drawingml.chartshapes+xml"/>
  <Override PartName="/xl/charts/chart87.xml" ContentType="application/vnd.openxmlformats-officedocument.drawingml.chart+xml"/>
  <Override PartName="/xl/drawings/drawing92.xml" ContentType="application/vnd.openxmlformats-officedocument.drawingml.chartshapes+xml"/>
  <Override PartName="/xl/charts/chart88.xml" ContentType="application/vnd.openxmlformats-officedocument.drawingml.chart+xml"/>
  <Override PartName="/xl/drawings/drawing93.xml" ContentType="application/vnd.openxmlformats-officedocument.drawingml.chartshapes+xml"/>
  <Override PartName="/xl/charts/chart89.xml" ContentType="application/vnd.openxmlformats-officedocument.drawingml.chart+xml"/>
  <Override PartName="/xl/drawings/drawing94.xml" ContentType="application/vnd.openxmlformats-officedocument.drawingml.chartshapes+xml"/>
  <Override PartName="/xl/charts/chart90.xml" ContentType="application/vnd.openxmlformats-officedocument.drawingml.chart+xml"/>
  <Override PartName="/xl/drawings/drawing95.xml" ContentType="application/vnd.openxmlformats-officedocument.drawingml.chartshapes+xml"/>
  <Override PartName="/xl/charts/chart91.xml" ContentType="application/vnd.openxmlformats-officedocument.drawingml.chart+xml"/>
  <Override PartName="/xl/drawings/drawing96.xml" ContentType="application/vnd.openxmlformats-officedocument.drawingml.chartshapes+xml"/>
  <Override PartName="/xl/charts/chart92.xml" ContentType="application/vnd.openxmlformats-officedocument.drawingml.chart+xml"/>
  <Override PartName="/xl/drawings/drawing97.xml" ContentType="application/vnd.openxmlformats-officedocument.drawingml.chartshapes+xml"/>
  <Override PartName="/xl/charts/chart93.xml" ContentType="application/vnd.openxmlformats-officedocument.drawingml.chart+xml"/>
  <Override PartName="/xl/drawings/drawing98.xml" ContentType="application/vnd.openxmlformats-officedocument.drawingml.chartshapes+xml"/>
  <Override PartName="/xl/charts/chart94.xml" ContentType="application/vnd.openxmlformats-officedocument.drawingml.chart+xml"/>
  <Override PartName="/xl/drawings/drawing99.xml" ContentType="application/vnd.openxmlformats-officedocument.drawingml.chartshapes+xml"/>
  <Override PartName="/xl/charts/chart95.xml" ContentType="application/vnd.openxmlformats-officedocument.drawingml.chart+xml"/>
  <Override PartName="/xl/drawings/drawing100.xml" ContentType="application/vnd.openxmlformats-officedocument.drawingml.chartshapes+xml"/>
  <Override PartName="/xl/charts/chart96.xml" ContentType="application/vnd.openxmlformats-officedocument.drawingml.chart+xml"/>
  <Override PartName="/xl/drawings/drawing101.xml" ContentType="application/vnd.openxmlformats-officedocument.drawingml.chartshapes+xml"/>
  <Override PartName="/xl/charts/chart97.xml" ContentType="application/vnd.openxmlformats-officedocument.drawingml.chart+xml"/>
  <Override PartName="/xl/drawings/drawing102.xml" ContentType="application/vnd.openxmlformats-officedocument.drawingml.chartshapes+xml"/>
  <Override PartName="/xl/charts/chart98.xml" ContentType="application/vnd.openxmlformats-officedocument.drawingml.chart+xml"/>
  <Override PartName="/xl/drawings/drawing103.xml" ContentType="application/vnd.openxmlformats-officedocument.drawingml.chartshapes+xml"/>
  <Override PartName="/xl/charts/chart99.xml" ContentType="application/vnd.openxmlformats-officedocument.drawingml.chart+xml"/>
  <Override PartName="/xl/drawings/drawing104.xml" ContentType="application/vnd.openxmlformats-officedocument.drawingml.chartshapes+xml"/>
  <Override PartName="/xl/charts/chart100.xml" ContentType="application/vnd.openxmlformats-officedocument.drawingml.chart+xml"/>
  <Override PartName="/xl/drawings/drawing105.xml" ContentType="application/vnd.openxmlformats-officedocument.drawingml.chartshapes+xml"/>
  <Override PartName="/xl/charts/chart101.xml" ContentType="application/vnd.openxmlformats-officedocument.drawingml.chart+xml"/>
  <Override PartName="/xl/drawings/drawing106.xml" ContentType="application/vnd.openxmlformats-officedocument.drawingml.chartshapes+xml"/>
  <Override PartName="/xl/charts/chart102.xml" ContentType="application/vnd.openxmlformats-officedocument.drawingml.chart+xml"/>
  <Override PartName="/xl/drawings/drawing107.xml" ContentType="application/vnd.openxmlformats-officedocument.drawingml.chartshapes+xml"/>
  <Override PartName="/xl/charts/chart103.xml" ContentType="application/vnd.openxmlformats-officedocument.drawingml.chart+xml"/>
  <Override PartName="/xl/drawings/drawing108.xml" ContentType="application/vnd.openxmlformats-officedocument.drawingml.chartshapes+xml"/>
  <Override PartName="/xl/charts/chart104.xml" ContentType="application/vnd.openxmlformats-officedocument.drawingml.chart+xml"/>
  <Override PartName="/xl/drawings/drawing109.xml" ContentType="application/vnd.openxmlformats-officedocument.drawingml.chartshapes+xml"/>
  <Override PartName="/xl/charts/chart105.xml" ContentType="application/vnd.openxmlformats-officedocument.drawingml.chart+xml"/>
  <Override PartName="/xl/drawings/drawing110.xml" ContentType="application/vnd.openxmlformats-officedocument.drawingml.chartshapes+xml"/>
  <Override PartName="/xl/charts/chart106.xml" ContentType="application/vnd.openxmlformats-officedocument.drawingml.chart+xml"/>
  <Override PartName="/xl/drawings/drawing111.xml" ContentType="application/vnd.openxmlformats-officedocument.drawingml.chartshapes+xml"/>
  <Override PartName="/xl/charts/chart107.xml" ContentType="application/vnd.openxmlformats-officedocument.drawingml.chart+xml"/>
  <Override PartName="/xl/drawings/drawing112.xml" ContentType="application/vnd.openxmlformats-officedocument.drawingml.chartshapes+xml"/>
  <Override PartName="/xl/charts/chart108.xml" ContentType="application/vnd.openxmlformats-officedocument.drawingml.chart+xml"/>
  <Override PartName="/xl/drawings/drawing113.xml" ContentType="application/vnd.openxmlformats-officedocument.drawingml.chartshapes+xml"/>
  <Override PartName="/xl/charts/chart109.xml" ContentType="application/vnd.openxmlformats-officedocument.drawingml.chart+xml"/>
  <Override PartName="/xl/drawings/drawing114.xml" ContentType="application/vnd.openxmlformats-officedocument.drawingml.chartshapes+xml"/>
  <Override PartName="/xl/charts/chart110.xml" ContentType="application/vnd.openxmlformats-officedocument.drawingml.chart+xml"/>
  <Override PartName="/xl/drawings/drawing115.xml" ContentType="application/vnd.openxmlformats-officedocument.drawingml.chartshapes+xml"/>
  <Override PartName="/xl/charts/chart111.xml" ContentType="application/vnd.openxmlformats-officedocument.drawingml.chart+xml"/>
  <Override PartName="/xl/drawings/drawing116.xml" ContentType="application/vnd.openxmlformats-officedocument.drawingml.chartshapes+xml"/>
  <Override PartName="/xl/charts/chart112.xml" ContentType="application/vnd.openxmlformats-officedocument.drawingml.chart+xml"/>
  <Override PartName="/xl/drawings/drawing117.xml" ContentType="application/vnd.openxmlformats-officedocument.drawingml.chartshapes+xml"/>
  <Override PartName="/xl/charts/chart113.xml" ContentType="application/vnd.openxmlformats-officedocument.drawingml.chart+xml"/>
  <Override PartName="/xl/drawings/drawing118.xml" ContentType="application/vnd.openxmlformats-officedocument.drawingml.chartshapes+xml"/>
  <Override PartName="/xl/charts/chart114.xml" ContentType="application/vnd.openxmlformats-officedocument.drawingml.chart+xml"/>
  <Override PartName="/xl/drawings/drawing119.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updateLinks="never" codeName="ThisWorkbook" defaultThemeVersion="124226"/>
  <mc:AlternateContent xmlns:mc="http://schemas.openxmlformats.org/markup-compatibility/2006">
    <mc:Choice Requires="x15">
      <x15ac:absPath xmlns:x15ac="http://schemas.microsoft.com/office/spreadsheetml/2010/11/ac" url="https://vernonbs.sharepoint.com/teams/MortgageTeam/Shared Documents/Affordability Calculators/Current Version/"/>
    </mc:Choice>
  </mc:AlternateContent>
  <xr:revisionPtr revIDLastSave="133" documentId="8_{8440789C-C688-4EAE-B32A-F2D4292A2C21}" xr6:coauthVersionLast="47" xr6:coauthVersionMax="47" xr10:uidLastSave="{E92AC3F6-A08D-4CE5-8432-4FB5EFFE03D9}"/>
  <workbookProtection workbookAlgorithmName="SHA-512" workbookHashValue="Ob0yz6mk6iNx3wCUHxLuslFKmjcas1z2l9pV0F1qa2F8naXsS6Rm/gOqAgMbo3j3/fqPBi0UCEG7W1c1ic6H/A==" workbookSaltValue="Jq4T9IVFPBZmqnxCOAU64A==" workbookSpinCount="100000" lockStructure="1"/>
  <bookViews>
    <workbookView xWindow="-120" yWindow="-120" windowWidth="29040" windowHeight="15720" xr2:uid="{00000000-000D-0000-FFFF-FFFF00000000}"/>
  </bookViews>
  <sheets>
    <sheet name="Broker" sheetId="36" r:id="rId1"/>
    <sheet name="PEL" sheetId="37" state="hidden" r:id="rId2"/>
    <sheet name="1 - Main" sheetId="30" state="hidden" r:id="rId3"/>
    <sheet name="Drop down" sheetId="2" state="hidden" r:id="rId4"/>
    <sheet name="2 - Income" sheetId="35" state="hidden" r:id="rId5"/>
    <sheet name="3 - Debt" sheetId="19" state="hidden" r:id="rId6"/>
    <sheet name="4 - Expenditure" sheetId="20" state="hidden" r:id="rId7"/>
    <sheet name="5 - Notes" sheetId="21" state="hidden" r:id="rId8"/>
    <sheet name=" VBS Criteria" sheetId="6" state="hidden" r:id="rId9"/>
    <sheet name="Guidance Notes" sheetId="14" state="hidden" r:id="rId10"/>
    <sheet name="ONS Update" sheetId="5" state="hidden" r:id="rId11"/>
    <sheet name="ONS Explanation Table" sheetId="43" state="hidden" r:id="rId12"/>
    <sheet name="ONS 2024" sheetId="42" state="hidden" r:id="rId13"/>
    <sheet name="ONS 2022" sheetId="41" state="hidden" r:id="rId14"/>
    <sheet name="ONS 2021" sheetId="38" state="hidden" r:id="rId15"/>
    <sheet name="ONS 2016" sheetId="10" state="hidden" r:id="rId16"/>
    <sheet name="ONS 2018" sheetId="29" state="hidden" r:id="rId17"/>
    <sheet name="ONS expenditure breakdown A1" sheetId="11" state="hidden" r:id="rId18"/>
    <sheet name="Version control" sheetId="8" state="hidden" r:id="rId19"/>
    <sheet name="Admin" sheetId="33" state="hidden" r:id="rId20"/>
  </sheets>
  <definedNames>
    <definedName name="_xlnm._FilterDatabase" localSheetId="5" hidden="1">'3 - Debt'!$C$3:$J$16</definedName>
    <definedName name="_xlnm._FilterDatabase" localSheetId="6" hidden="1">'4 - Expenditure'!$B$3:$L$12</definedName>
    <definedName name="_xlnm._FilterDatabase" localSheetId="17" hidden="1">'ONS expenditure breakdown A1'!$L$1:$L$879</definedName>
    <definedName name="_xleta.AND" hidden="1" xlm="1">#NAME?</definedName>
    <definedName name="_xleta.IF" hidden="1" xlm="1">#NAME?</definedName>
    <definedName name="_xleta.IFERROR" hidden="1" xlm="1">#NAME?</definedName>
    <definedName name="_xleta.OR" hidden="1" xlm="1">#NAME?</definedName>
    <definedName name="_xlnm.Print_Area" localSheetId="2">'1 - Main'!$C$1:$R$88</definedName>
    <definedName name="_xlnm.Print_Area" localSheetId="0">Broker!$A$1:$M$90</definedName>
    <definedName name="_xlnm.Print_Area" localSheetId="9">'Guidance Notes'!$A$1:$J$40</definedName>
    <definedName name="Term_of_mort">'Drop down'!$A$2:$A$36</definedName>
    <definedName name="Z_64C2D868_1CCC_4F81_8B1E_D9B61A677972_.wvu.Cols" localSheetId="2" hidden="1">'1 - Main'!$E:$E,'1 - Main'!$P:$Q,'1 - Main'!#REF!</definedName>
    <definedName name="Z_64C2D868_1CCC_4F81_8B1E_D9B61A677972_.wvu.PrintArea" localSheetId="2" hidden="1">'1 - Main'!$C$1:$R$89</definedName>
    <definedName name="Z_64C2D868_1CCC_4F81_8B1E_D9B61A677972_.wvu.Rows" localSheetId="2" hidden="1">'1 - Main'!#REF!,'1 - Main'!$26:$27,'1 - Main'!#REF!,'1 - Main'!$46:$46,'1 - Main'!$65:$65,'1 - Main'!$74:$82,'1 - Main'!$47:$89,'1 - Main'!#REF!</definedName>
    <definedName name="Z_F4AB2E49_1586_47E0_B924_9A83EFFE583D_.wvu.Cols" localSheetId="2" hidden="1">'1 - Main'!$E:$E,'1 - Main'!$P:$Q,'1 - Main'!#REF!</definedName>
    <definedName name="Z_F4AB2E49_1586_47E0_B924_9A83EFFE583D_.wvu.PrintArea" localSheetId="2" hidden="1">'1 - Main'!$C$1:$R$89</definedName>
    <definedName name="Z_F4AB2E49_1586_47E0_B924_9A83EFFE583D_.wvu.Rows" localSheetId="2" hidden="1">'1 - Main'!#REF!,'1 - Main'!$65:$65,'1 - Main'!#REF!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20" l="1"/>
  <c r="G17" i="6"/>
  <c r="Q43" i="30"/>
  <c r="N37" i="30"/>
  <c r="L58" i="36"/>
  <c r="F58" i="36"/>
  <c r="F51" i="36"/>
  <c r="M26" i="6" s="1"/>
  <c r="L51" i="36"/>
  <c r="E7" i="21"/>
  <c r="G7" i="21" s="1"/>
  <c r="H73" i="30"/>
  <c r="I7" i="21" l="1"/>
  <c r="J7" i="21" s="1"/>
  <c r="I48" i="5"/>
  <c r="I49" i="5" s="1"/>
  <c r="H48" i="5"/>
  <c r="H49" i="5" s="1"/>
  <c r="G48" i="5"/>
  <c r="G49" i="5" s="1"/>
  <c r="F48" i="5"/>
  <c r="F49" i="5" s="1"/>
  <c r="E48" i="5"/>
  <c r="E49" i="5" s="1"/>
  <c r="D48" i="5"/>
  <c r="D49" i="5" s="1"/>
  <c r="C48" i="5"/>
  <c r="C49" i="5" s="1"/>
  <c r="C53" i="5"/>
  <c r="D53" i="5"/>
  <c r="C54" i="5"/>
  <c r="D54" i="5"/>
  <c r="C55" i="5"/>
  <c r="D55" i="5"/>
  <c r="E53" i="5"/>
  <c r="F53" i="5"/>
  <c r="G53" i="5"/>
  <c r="H53" i="5"/>
  <c r="I53" i="5"/>
  <c r="E54" i="5"/>
  <c r="F54" i="5"/>
  <c r="G54" i="5"/>
  <c r="H54" i="5"/>
  <c r="I54" i="5"/>
  <c r="P14" i="35"/>
  <c r="P13" i="35"/>
  <c r="H18" i="30"/>
  <c r="E6" i="21"/>
  <c r="F36" i="30"/>
  <c r="Q36" i="30" s="1"/>
  <c r="E14" i="21"/>
  <c r="E13" i="21"/>
  <c r="E12" i="21"/>
  <c r="E11" i="21"/>
  <c r="E10" i="21"/>
  <c r="E9" i="21"/>
  <c r="I9" i="21" s="1"/>
  <c r="J9" i="21" s="1"/>
  <c r="E8" i="21"/>
  <c r="I8" i="21" s="1"/>
  <c r="J8" i="21" s="1"/>
  <c r="E5" i="21"/>
  <c r="E4" i="21"/>
  <c r="I4" i="21" s="1"/>
  <c r="J4" i="21" s="1"/>
  <c r="M38" i="36"/>
  <c r="G38" i="36"/>
  <c r="M31" i="36"/>
  <c r="G31" i="36"/>
  <c r="AV24" i="41"/>
  <c r="BD24" i="41" s="1"/>
  <c r="AW24" i="41"/>
  <c r="BE24" i="41" s="1"/>
  <c r="AX24" i="41"/>
  <c r="BF24" i="41" s="1"/>
  <c r="AY24" i="41"/>
  <c r="BG24" i="41" s="1"/>
  <c r="AZ24" i="41"/>
  <c r="BH24" i="41" s="1"/>
  <c r="BA24" i="41"/>
  <c r="BI24" i="41" s="1"/>
  <c r="BB24" i="41"/>
  <c r="BJ24" i="41" s="1"/>
  <c r="AV25" i="41"/>
  <c r="BD25" i="41" s="1"/>
  <c r="AW25" i="41"/>
  <c r="BE25" i="41" s="1"/>
  <c r="AX25" i="41"/>
  <c r="BF25" i="41" s="1"/>
  <c r="AY25" i="41"/>
  <c r="BG25" i="41" s="1"/>
  <c r="AZ25" i="41"/>
  <c r="BH25" i="41" s="1"/>
  <c r="BA25" i="41"/>
  <c r="BI25" i="41" s="1"/>
  <c r="BB25" i="41"/>
  <c r="BJ25" i="41" s="1"/>
  <c r="AV27" i="41"/>
  <c r="BD27" i="41" s="1"/>
  <c r="AW27" i="41"/>
  <c r="BE27" i="41" s="1"/>
  <c r="AX27" i="41"/>
  <c r="BF27" i="41" s="1"/>
  <c r="AY27" i="41"/>
  <c r="BG27" i="41" s="1"/>
  <c r="AZ27" i="41"/>
  <c r="BH27" i="41" s="1"/>
  <c r="BA27" i="41"/>
  <c r="BI27" i="41" s="1"/>
  <c r="BB27" i="41"/>
  <c r="BJ27" i="41" s="1"/>
  <c r="AV29" i="41"/>
  <c r="BD29" i="41" s="1"/>
  <c r="AW29" i="41"/>
  <c r="BE29" i="41" s="1"/>
  <c r="AX29" i="41"/>
  <c r="BF29" i="41" s="1"/>
  <c r="AY29" i="41"/>
  <c r="BG29" i="41" s="1"/>
  <c r="AZ29" i="41"/>
  <c r="BH29" i="41" s="1"/>
  <c r="BA29" i="41"/>
  <c r="BI29" i="41" s="1"/>
  <c r="BB29" i="41"/>
  <c r="BJ29" i="41" s="1"/>
  <c r="AV31" i="41"/>
  <c r="BD31" i="41" s="1"/>
  <c r="AW31" i="41"/>
  <c r="BE31" i="41" s="1"/>
  <c r="AX31" i="41"/>
  <c r="BF31" i="41" s="1"/>
  <c r="AY31" i="41"/>
  <c r="BG31" i="41" s="1"/>
  <c r="AZ31" i="41"/>
  <c r="BH31" i="41" s="1"/>
  <c r="BA31" i="41"/>
  <c r="BI31" i="41" s="1"/>
  <c r="BB31" i="41"/>
  <c r="BJ31" i="41" s="1"/>
  <c r="AV15" i="41"/>
  <c r="BD15" i="41" s="1"/>
  <c r="AW15" i="41"/>
  <c r="BE15" i="41" s="1"/>
  <c r="AX15" i="41"/>
  <c r="BF15" i="41" s="1"/>
  <c r="AY15" i="41"/>
  <c r="BG15" i="41" s="1"/>
  <c r="AZ15" i="41"/>
  <c r="BH15" i="41" s="1"/>
  <c r="BA15" i="41"/>
  <c r="BI15" i="41" s="1"/>
  <c r="BB15" i="41"/>
  <c r="BJ15" i="41" s="1"/>
  <c r="AV16" i="41"/>
  <c r="BD16" i="41" s="1"/>
  <c r="AW16" i="41"/>
  <c r="BE16" i="41" s="1"/>
  <c r="AX16" i="41"/>
  <c r="BF16" i="41" s="1"/>
  <c r="AY16" i="41"/>
  <c r="BG16" i="41" s="1"/>
  <c r="AZ16" i="41"/>
  <c r="BH16" i="41" s="1"/>
  <c r="BA16" i="41"/>
  <c r="BI16" i="41" s="1"/>
  <c r="BB16" i="41"/>
  <c r="BJ16" i="41" s="1"/>
  <c r="AV17" i="41"/>
  <c r="BD17" i="41" s="1"/>
  <c r="AW17" i="41"/>
  <c r="BE17" i="41" s="1"/>
  <c r="AX17" i="41"/>
  <c r="BF17" i="41" s="1"/>
  <c r="AY17" i="41"/>
  <c r="BG17" i="41" s="1"/>
  <c r="AZ17" i="41"/>
  <c r="BH17" i="41" s="1"/>
  <c r="BA17" i="41"/>
  <c r="BI17" i="41" s="1"/>
  <c r="BB17" i="41"/>
  <c r="BJ17" i="41" s="1"/>
  <c r="AV18" i="41"/>
  <c r="BD18" i="41" s="1"/>
  <c r="AW18" i="41"/>
  <c r="BE18" i="41" s="1"/>
  <c r="AX18" i="41"/>
  <c r="BF18" i="41" s="1"/>
  <c r="AY18" i="41"/>
  <c r="BG18" i="41" s="1"/>
  <c r="AZ18" i="41"/>
  <c r="BH18" i="41" s="1"/>
  <c r="BA18" i="41"/>
  <c r="BI18" i="41" s="1"/>
  <c r="BB18" i="41"/>
  <c r="BJ18" i="41" s="1"/>
  <c r="AV19" i="41"/>
  <c r="BD19" i="41" s="1"/>
  <c r="AW19" i="41"/>
  <c r="BE19" i="41" s="1"/>
  <c r="AX19" i="41"/>
  <c r="BF19" i="41" s="1"/>
  <c r="AY19" i="41"/>
  <c r="BG19" i="41" s="1"/>
  <c r="AZ19" i="41"/>
  <c r="BH19" i="41" s="1"/>
  <c r="BA19" i="41"/>
  <c r="BI19" i="41" s="1"/>
  <c r="BB19" i="41"/>
  <c r="BJ19" i="41" s="1"/>
  <c r="AV20" i="41"/>
  <c r="BD20" i="41" s="1"/>
  <c r="AW20" i="41"/>
  <c r="BE20" i="41" s="1"/>
  <c r="AX20" i="41"/>
  <c r="BF20" i="41" s="1"/>
  <c r="AY20" i="41"/>
  <c r="BG20" i="41" s="1"/>
  <c r="AZ20" i="41"/>
  <c r="BH20" i="41" s="1"/>
  <c r="BA20" i="41"/>
  <c r="BI20" i="41" s="1"/>
  <c r="BB20" i="41"/>
  <c r="BJ20" i="41" s="1"/>
  <c r="AV21" i="41"/>
  <c r="BD21" i="41" s="1"/>
  <c r="AW21" i="41"/>
  <c r="BE21" i="41" s="1"/>
  <c r="AX21" i="41"/>
  <c r="BF21" i="41" s="1"/>
  <c r="AY21" i="41"/>
  <c r="BG21" i="41" s="1"/>
  <c r="AZ21" i="41"/>
  <c r="BH21" i="41" s="1"/>
  <c r="BA21" i="41"/>
  <c r="BI21" i="41" s="1"/>
  <c r="BB21" i="41"/>
  <c r="BJ21" i="41" s="1"/>
  <c r="AV22" i="41"/>
  <c r="BD22" i="41" s="1"/>
  <c r="AW22" i="41"/>
  <c r="BE22" i="41" s="1"/>
  <c r="AX22" i="41"/>
  <c r="BF22" i="41" s="1"/>
  <c r="AY22" i="41"/>
  <c r="BG22" i="41" s="1"/>
  <c r="AZ22" i="41"/>
  <c r="BH22" i="41" s="1"/>
  <c r="BA22" i="41"/>
  <c r="BI22" i="41" s="1"/>
  <c r="BB22" i="41"/>
  <c r="BJ22" i="41" s="1"/>
  <c r="AW14" i="41"/>
  <c r="BE14" i="41" s="1"/>
  <c r="AX14" i="41"/>
  <c r="BF14" i="41" s="1"/>
  <c r="AY14" i="41"/>
  <c r="BG14" i="41" s="1"/>
  <c r="AZ14" i="41"/>
  <c r="BH14" i="41" s="1"/>
  <c r="BA14" i="41"/>
  <c r="BI14" i="41" s="1"/>
  <c r="BB14" i="41"/>
  <c r="BJ14" i="41" s="1"/>
  <c r="AV14" i="41"/>
  <c r="BD14" i="41" s="1"/>
  <c r="G6" i="21" l="1"/>
  <c r="I6" i="21"/>
  <c r="J6" i="21" s="1"/>
  <c r="F10" i="21"/>
  <c r="I10" i="21"/>
  <c r="J10" i="21" s="1"/>
  <c r="G11" i="21"/>
  <c r="I11" i="21"/>
  <c r="J11" i="21" s="1"/>
  <c r="G12" i="21"/>
  <c r="I12" i="21"/>
  <c r="J12" i="21" s="1"/>
  <c r="G13" i="21"/>
  <c r="I13" i="21"/>
  <c r="J13" i="21" s="1"/>
  <c r="F14" i="21"/>
  <c r="I14" i="21"/>
  <c r="J14" i="21" s="1"/>
  <c r="G5" i="21"/>
  <c r="I5" i="21"/>
  <c r="J5" i="21" s="1"/>
  <c r="J16" i="21" s="1"/>
  <c r="F6" i="21"/>
  <c r="G14" i="21"/>
  <c r="F13" i="21"/>
  <c r="G10" i="21"/>
  <c r="G4" i="21"/>
  <c r="F4" i="21"/>
  <c r="F9" i="21"/>
  <c r="F12" i="21"/>
  <c r="F8" i="21"/>
  <c r="G9" i="21"/>
  <c r="F11" i="21"/>
  <c r="F5" i="21"/>
  <c r="G8" i="21"/>
  <c r="M41" i="36"/>
  <c r="L42" i="36"/>
  <c r="F42" i="36"/>
  <c r="L35" i="36"/>
  <c r="F35" i="36"/>
  <c r="F16" i="21" l="1"/>
  <c r="O66" i="35"/>
  <c r="G66" i="35"/>
  <c r="O34" i="35"/>
  <c r="G34" i="35"/>
  <c r="K13" i="20" l="1"/>
  <c r="F32" i="19"/>
  <c r="F33" i="19" s="1"/>
  <c r="M15" i="6" l="1"/>
  <c r="H22" i="30"/>
  <c r="G12" i="6" l="1"/>
  <c r="F15" i="20"/>
  <c r="E15" i="20"/>
  <c r="D15" i="20"/>
  <c r="D14" i="36" l="1"/>
  <c r="N10" i="35"/>
  <c r="H5" i="19"/>
  <c r="H6" i="19"/>
  <c r="H7" i="19"/>
  <c r="H8" i="19"/>
  <c r="H9" i="19"/>
  <c r="H10" i="19"/>
  <c r="H11" i="19"/>
  <c r="H12" i="19"/>
  <c r="H13" i="19"/>
  <c r="H14" i="19"/>
  <c r="H15" i="19"/>
  <c r="H16" i="19"/>
  <c r="H17" i="19"/>
  <c r="H18" i="19"/>
  <c r="H19" i="19"/>
  <c r="H20" i="19"/>
  <c r="H21" i="19"/>
  <c r="H22" i="19"/>
  <c r="H23" i="19"/>
  <c r="H24" i="19"/>
  <c r="H4" i="19"/>
  <c r="K5" i="20"/>
  <c r="K6" i="20"/>
  <c r="K7" i="20"/>
  <c r="K8" i="20"/>
  <c r="K9" i="20"/>
  <c r="K10" i="20"/>
  <c r="K11" i="20"/>
  <c r="K12" i="20"/>
  <c r="P40" i="6" l="1"/>
  <c r="P39" i="6"/>
  <c r="C39" i="6"/>
  <c r="C35" i="6"/>
  <c r="C29" i="6"/>
  <c r="C30" i="6" s="1"/>
  <c r="M32" i="6"/>
  <c r="C32" i="6" s="1"/>
  <c r="M31" i="6"/>
  <c r="C31" i="6" s="1"/>
  <c r="G32" i="6"/>
  <c r="G31" i="6"/>
  <c r="C36" i="6" l="1"/>
  <c r="C37" i="6" s="1"/>
  <c r="P41" i="6"/>
  <c r="C40" i="6"/>
  <c r="C41" i="6" s="1"/>
  <c r="C43" i="6" s="1"/>
  <c r="M21" i="6"/>
  <c r="P23" i="6" s="1"/>
  <c r="M18" i="6"/>
  <c r="G18" i="6"/>
  <c r="M17" i="6"/>
  <c r="L98" i="36" s="1"/>
  <c r="M16" i="6"/>
  <c r="M13" i="6"/>
  <c r="M12" i="6"/>
  <c r="M11" i="6"/>
  <c r="B31" i="6"/>
  <c r="B32" i="6"/>
  <c r="N43" i="30"/>
  <c r="P24" i="6" l="1"/>
  <c r="P49" i="6" s="1"/>
  <c r="L95" i="36"/>
  <c r="M50" i="6"/>
  <c r="F95" i="36"/>
  <c r="B90" i="36"/>
  <c r="L99" i="36"/>
  <c r="M22" i="6"/>
  <c r="F61" i="36"/>
  <c r="J61" i="36" s="1"/>
  <c r="P48" i="6"/>
  <c r="M14" i="6"/>
  <c r="M19" i="6"/>
  <c r="L96" i="36" l="1"/>
  <c r="P17" i="6"/>
  <c r="J23" i="36"/>
  <c r="P14" i="6"/>
  <c r="P15" i="6"/>
  <c r="P12" i="6"/>
  <c r="F99" i="36"/>
  <c r="M37" i="6"/>
  <c r="M33" i="6"/>
  <c r="P33" i="6"/>
  <c r="F98" i="36" s="1"/>
  <c r="P9" i="35"/>
  <c r="P8" i="35"/>
  <c r="P7" i="35"/>
  <c r="P6" i="35"/>
  <c r="H9" i="35"/>
  <c r="H8" i="35"/>
  <c r="H7" i="35"/>
  <c r="H6" i="35"/>
  <c r="M6" i="19"/>
  <c r="J33" i="30" s="1"/>
  <c r="J18" i="20"/>
  <c r="K18" i="20" s="1"/>
  <c r="J19" i="20"/>
  <c r="K19" i="20" s="1"/>
  <c r="J20" i="20"/>
  <c r="K20" i="20" s="1"/>
  <c r="J21" i="20"/>
  <c r="K21" i="20" s="1"/>
  <c r="J22" i="20"/>
  <c r="K22" i="20" s="1"/>
  <c r="J23" i="20"/>
  <c r="K23" i="20" s="1"/>
  <c r="J17" i="20"/>
  <c r="K17" i="20" s="1"/>
  <c r="J16" i="20"/>
  <c r="J11" i="20"/>
  <c r="J5" i="20"/>
  <c r="H50" i="35" a="1"/>
  <c r="H50" i="35" s="1"/>
  <c r="H60" i="35"/>
  <c r="H61" i="35"/>
  <c r="H52" i="35"/>
  <c r="H53" i="35"/>
  <c r="H54" i="35"/>
  <c r="H55" i="35"/>
  <c r="H56" i="35"/>
  <c r="H57" i="35"/>
  <c r="H58" i="35"/>
  <c r="H43" i="35"/>
  <c r="H44" i="35"/>
  <c r="H45" i="35"/>
  <c r="H46" i="35"/>
  <c r="H47" i="35"/>
  <c r="H48" i="35"/>
  <c r="H49" i="35"/>
  <c r="H38" i="35"/>
  <c r="H39" i="35"/>
  <c r="H40" i="35"/>
  <c r="H41" i="35"/>
  <c r="P50" i="35" a="1"/>
  <c r="P50" i="35" s="1"/>
  <c r="P60" i="35"/>
  <c r="P61" i="35"/>
  <c r="P52" i="35"/>
  <c r="P53" i="35"/>
  <c r="P54" i="35"/>
  <c r="P55" i="35"/>
  <c r="P56" i="35"/>
  <c r="P57" i="35"/>
  <c r="P58" i="35"/>
  <c r="P43" i="35"/>
  <c r="P44" i="35"/>
  <c r="P45" i="35"/>
  <c r="P46" i="35"/>
  <c r="P47" i="35"/>
  <c r="P48" i="35"/>
  <c r="P49" i="35"/>
  <c r="P38" i="35"/>
  <c r="P39" i="35"/>
  <c r="P40" i="35"/>
  <c r="P41" i="35"/>
  <c r="P18" i="35" a="1"/>
  <c r="P18" i="35" s="1"/>
  <c r="P29" i="35"/>
  <c r="P20" i="35"/>
  <c r="P21" i="35"/>
  <c r="P22" i="35"/>
  <c r="P23" i="35"/>
  <c r="P24" i="35"/>
  <c r="P25" i="35"/>
  <c r="P26" i="35"/>
  <c r="P11" i="35"/>
  <c r="P12" i="35"/>
  <c r="P15" i="35"/>
  <c r="P16" i="35"/>
  <c r="P17" i="35"/>
  <c r="H24" i="35"/>
  <c r="H23" i="35"/>
  <c r="H21" i="35"/>
  <c r="H20" i="35"/>
  <c r="H17" i="35"/>
  <c r="AV31" i="38"/>
  <c r="AW31" i="38"/>
  <c r="AX31" i="38"/>
  <c r="AY31" i="38"/>
  <c r="AZ31" i="38"/>
  <c r="BA31" i="38"/>
  <c r="BB31" i="38"/>
  <c r="AV29" i="38"/>
  <c r="AW29" i="38"/>
  <c r="AX29" i="38"/>
  <c r="AY29" i="38"/>
  <c r="AZ29" i="38"/>
  <c r="BA29" i="38"/>
  <c r="BB29" i="38"/>
  <c r="AV27" i="38"/>
  <c r="AW27" i="38"/>
  <c r="AX27" i="38"/>
  <c r="AY27" i="38"/>
  <c r="AZ27" i="38"/>
  <c r="BA27" i="38"/>
  <c r="BB27" i="38"/>
  <c r="AV15" i="38"/>
  <c r="AW15" i="38"/>
  <c r="AX15" i="38"/>
  <c r="AY15" i="38"/>
  <c r="AZ15" i="38"/>
  <c r="BA15" i="38"/>
  <c r="BB15" i="38"/>
  <c r="AV16" i="38"/>
  <c r="AW16" i="38"/>
  <c r="AX16" i="38"/>
  <c r="AY16" i="38"/>
  <c r="AZ16" i="38"/>
  <c r="BA16" i="38"/>
  <c r="BB16" i="38"/>
  <c r="AV17" i="38"/>
  <c r="AW17" i="38"/>
  <c r="AX17" i="38"/>
  <c r="AY17" i="38"/>
  <c r="AZ17" i="38"/>
  <c r="BA17" i="38"/>
  <c r="BB17" i="38"/>
  <c r="AV18" i="38"/>
  <c r="AW18" i="38"/>
  <c r="AX18" i="38"/>
  <c r="AY18" i="38"/>
  <c r="AZ18" i="38"/>
  <c r="BA18" i="38"/>
  <c r="BB18" i="38"/>
  <c r="AV19" i="38"/>
  <c r="AW19" i="38"/>
  <c r="AX19" i="38"/>
  <c r="AY19" i="38"/>
  <c r="AZ19" i="38"/>
  <c r="BA19" i="38"/>
  <c r="BB19" i="38"/>
  <c r="AV20" i="38"/>
  <c r="AW20" i="38"/>
  <c r="AX20" i="38"/>
  <c r="AY20" i="38"/>
  <c r="AZ20" i="38"/>
  <c r="BA20" i="38"/>
  <c r="BB20" i="38"/>
  <c r="AV21" i="38"/>
  <c r="AW21" i="38"/>
  <c r="AX21" i="38"/>
  <c r="AY21" i="38"/>
  <c r="AZ21" i="38"/>
  <c r="BA21" i="38"/>
  <c r="BB21" i="38"/>
  <c r="AV22" i="38"/>
  <c r="AW22" i="38"/>
  <c r="AX22" i="38"/>
  <c r="AY22" i="38"/>
  <c r="AZ22" i="38"/>
  <c r="BA22" i="38"/>
  <c r="BB22" i="38"/>
  <c r="AW23" i="38"/>
  <c r="AZ23" i="38"/>
  <c r="BA23" i="38"/>
  <c r="BB23" i="38"/>
  <c r="AV24" i="38"/>
  <c r="AW24" i="38"/>
  <c r="AX24" i="38"/>
  <c r="AY24" i="38"/>
  <c r="AZ24" i="38"/>
  <c r="BA24" i="38"/>
  <c r="BB24" i="38"/>
  <c r="AV25" i="38"/>
  <c r="AW25" i="38"/>
  <c r="AX25" i="38"/>
  <c r="AY25" i="38"/>
  <c r="AZ25" i="38"/>
  <c r="BA25" i="38"/>
  <c r="BB25" i="38"/>
  <c r="AW14" i="38"/>
  <c r="AX14" i="38"/>
  <c r="AY14" i="38"/>
  <c r="AZ14" i="38"/>
  <c r="BA14" i="38"/>
  <c r="BB14" i="38"/>
  <c r="AV14" i="38"/>
  <c r="P25" i="6" l="1"/>
  <c r="P43" i="6"/>
  <c r="M34" i="6"/>
  <c r="P63" i="35"/>
  <c r="L31" i="30" s="1"/>
  <c r="P62" i="35"/>
  <c r="H63" i="35"/>
  <c r="J31" i="30" s="1"/>
  <c r="H62" i="35"/>
  <c r="J29" i="30" s="1"/>
  <c r="P34" i="6"/>
  <c r="P42" i="6"/>
  <c r="J24" i="20"/>
  <c r="K4" i="20"/>
  <c r="N36" i="30" s="1"/>
  <c r="K16" i="20"/>
  <c r="G48" i="6"/>
  <c r="G47" i="6"/>
  <c r="G46" i="6"/>
  <c r="G45" i="6"/>
  <c r="F45" i="30" l="1"/>
  <c r="Q45" i="30" s="1"/>
  <c r="L29" i="30"/>
  <c r="P44" i="6"/>
  <c r="L104" i="36"/>
  <c r="G49" i="6"/>
  <c r="N45" i="30" l="1"/>
  <c r="G50" i="6"/>
  <c r="G51" i="6" s="1"/>
  <c r="G52" i="6" s="1"/>
  <c r="J32" i="6"/>
  <c r="J31" i="6"/>
  <c r="G16" i="6"/>
  <c r="G15" i="6"/>
  <c r="G13" i="6"/>
  <c r="G53" i="6"/>
  <c r="G54" i="6" s="1"/>
  <c r="G55" i="6" s="1"/>
  <c r="L51" i="30" l="1"/>
  <c r="G22" i="6"/>
  <c r="G23" i="6"/>
  <c r="G11" i="6"/>
  <c r="J33" i="6"/>
  <c r="G19" i="6"/>
  <c r="P39" i="30" l="1"/>
  <c r="Q39" i="30" s="1"/>
  <c r="P42" i="30"/>
  <c r="Q42" i="30" s="1"/>
  <c r="H16" i="30"/>
  <c r="H10" i="30" s="1"/>
  <c r="J66" i="30"/>
  <c r="J70" i="30"/>
  <c r="J68" i="30"/>
  <c r="G56" i="6"/>
  <c r="M7" i="19"/>
  <c r="L33" i="30" s="1"/>
  <c r="M5" i="19"/>
  <c r="H33" i="30" s="1"/>
  <c r="B29" i="6" l="1"/>
  <c r="B30" i="6" l="1"/>
  <c r="J53" i="6"/>
  <c r="J49" i="6" s="1"/>
  <c r="J48" i="6"/>
  <c r="J47" i="6"/>
  <c r="B36" i="6"/>
  <c r="B37" i="6" s="1"/>
  <c r="B40" i="6"/>
  <c r="G14" i="6"/>
  <c r="G62" i="6" l="1"/>
  <c r="G39" i="6"/>
  <c r="G57" i="6"/>
  <c r="G58" i="6" s="1"/>
  <c r="G59" i="6" s="1"/>
  <c r="G61" i="6"/>
  <c r="H29" i="35"/>
  <c r="H28" i="35"/>
  <c r="H26" i="35"/>
  <c r="H25" i="35"/>
  <c r="H22" i="35"/>
  <c r="H18" i="35" a="1"/>
  <c r="H18" i="35" s="1"/>
  <c r="G63" i="6" l="1"/>
  <c r="F62" i="30" s="1"/>
  <c r="G60" i="6"/>
  <c r="B41" i="6"/>
  <c r="B43" i="6" s="1"/>
  <c r="I11" i="20"/>
  <c r="G34" i="6" l="1"/>
  <c r="G33" i="6"/>
  <c r="N74" i="30"/>
  <c r="H16" i="35"/>
  <c r="H15" i="35"/>
  <c r="H14" i="35"/>
  <c r="H13" i="35"/>
  <c r="H12" i="35"/>
  <c r="H31" i="35" s="1"/>
  <c r="F31" i="30" s="1"/>
  <c r="H11" i="35"/>
  <c r="H30" i="35" s="1"/>
  <c r="F29" i="30" s="1"/>
  <c r="H74" i="30" s="1"/>
  <c r="J74" i="30" s="1"/>
  <c r="J16" i="6" l="1"/>
  <c r="J35" i="6"/>
  <c r="G35" i="6"/>
  <c r="J34" i="6"/>
  <c r="G36" i="6"/>
  <c r="J26" i="6"/>
  <c r="F27" i="35" l="1"/>
  <c r="D59" i="35"/>
  <c r="N5" i="35"/>
  <c r="M4" i="19"/>
  <c r="M9" i="19" s="1"/>
  <c r="N27" i="35" l="1"/>
  <c r="F59" i="35"/>
  <c r="N19" i="35"/>
  <c r="F51" i="35"/>
  <c r="M5" i="35"/>
  <c r="P28" i="35"/>
  <c r="P31" i="35" s="1"/>
  <c r="H31" i="30" s="1"/>
  <c r="G21" i="6" s="1"/>
  <c r="F46" i="30" s="1"/>
  <c r="L27" i="35"/>
  <c r="L5" i="35"/>
  <c r="F51" i="30" l="1"/>
  <c r="P30" i="35"/>
  <c r="H29" i="30" s="1"/>
  <c r="M27" i="35"/>
  <c r="E59" i="35"/>
  <c r="M19" i="35"/>
  <c r="E51" i="35"/>
  <c r="L19" i="35"/>
  <c r="D51" i="35"/>
  <c r="H75" i="30" l="1"/>
  <c r="N75" i="30" s="1"/>
  <c r="G20" i="6"/>
  <c r="G26" i="6" s="1"/>
  <c r="J14" i="6" l="1"/>
  <c r="J40" i="6" s="1"/>
  <c r="J15" i="6"/>
  <c r="J41" i="6" s="1"/>
  <c r="L55" i="30" s="1"/>
  <c r="J25" i="6" l="1"/>
  <c r="L54" i="30" s="1"/>
  <c r="F44" i="30"/>
  <c r="F43" i="30"/>
  <c r="F42" i="30"/>
  <c r="F41" i="30"/>
  <c r="F40" i="30"/>
  <c r="F39" i="30"/>
  <c r="F38" i="30"/>
  <c r="F37" i="30"/>
  <c r="Q37" i="30" s="1"/>
  <c r="J36" i="6" l="1"/>
  <c r="F57" i="30" l="1"/>
  <c r="F60" i="30"/>
  <c r="F5" i="14"/>
  <c r="F33" i="30" l="1"/>
  <c r="F53" i="30" s="1"/>
  <c r="G24" i="6" l="1"/>
  <c r="R35" i="2" l="1"/>
  <c r="Q35" i="2"/>
  <c r="Q34" i="2"/>
  <c r="R9" i="2" l="1"/>
  <c r="T9" i="2"/>
  <c r="T10" i="2"/>
  <c r="T11" i="2"/>
  <c r="T12" i="2"/>
  <c r="S9" i="2"/>
  <c r="S10" i="2"/>
  <c r="S11" i="2"/>
  <c r="S12" i="2"/>
  <c r="R10" i="2"/>
  <c r="R11" i="2"/>
  <c r="R12" i="2"/>
  <c r="Q9" i="2"/>
  <c r="Q10" i="2"/>
  <c r="Q11" i="2"/>
  <c r="Q12" i="2"/>
  <c r="Q36" i="2" l="1"/>
  <c r="R36" i="2" s="1"/>
  <c r="N30" i="5" l="1"/>
  <c r="N31" i="5"/>
  <c r="N32" i="5"/>
  <c r="N33" i="5"/>
  <c r="N34" i="5"/>
  <c r="N35" i="5"/>
  <c r="N36" i="5"/>
  <c r="N37" i="5"/>
  <c r="N38" i="5"/>
  <c r="N39" i="5"/>
  <c r="N40" i="5"/>
  <c r="N41" i="5"/>
  <c r="N29" i="5"/>
  <c r="M31" i="5"/>
  <c r="M41" i="5"/>
  <c r="M493" i="11" l="1"/>
  <c r="M503" i="11"/>
  <c r="M578" i="11"/>
  <c r="M585" i="11"/>
  <c r="M824" i="11" l="1"/>
  <c r="M730" i="11"/>
  <c r="M678" i="11"/>
  <c r="M668" i="11"/>
  <c r="M667" i="11"/>
  <c r="M665" i="11"/>
  <c r="M666" i="11"/>
  <c r="M654" i="11"/>
  <c r="M655" i="11"/>
  <c r="N824" i="11" l="1"/>
  <c r="O824" i="11" s="1"/>
  <c r="M570" i="11"/>
  <c r="M551" i="11"/>
  <c r="M544" i="11"/>
  <c r="M572" i="11"/>
  <c r="M564" i="11"/>
  <c r="M472" i="11"/>
  <c r="M318" i="11"/>
  <c r="M244" i="11"/>
  <c r="M243" i="11"/>
  <c r="M246" i="11"/>
  <c r="M250" i="11"/>
  <c r="M242" i="11"/>
  <c r="M202" i="11"/>
  <c r="M156" i="11"/>
  <c r="M131" i="11"/>
  <c r="M145" i="11"/>
  <c r="L863" i="11"/>
  <c r="L862" i="11"/>
  <c r="L857" i="11"/>
  <c r="L847" i="11"/>
  <c r="L843" i="11"/>
  <c r="L833" i="11"/>
  <c r="L831" i="11"/>
  <c r="L826" i="11"/>
  <c r="L824" i="11"/>
  <c r="L807" i="11"/>
  <c r="L770" i="11"/>
  <c r="L765" i="11"/>
  <c r="L759" i="11"/>
  <c r="L757" i="11"/>
  <c r="L732" i="11"/>
  <c r="L718" i="11"/>
  <c r="L678" i="11"/>
  <c r="L670" i="11"/>
  <c r="L654" i="11"/>
  <c r="L652" i="11"/>
  <c r="L646" i="11"/>
  <c r="L629" i="11"/>
  <c r="L627" i="11"/>
  <c r="L599" i="11"/>
  <c r="L592" i="11"/>
  <c r="L590" i="11"/>
  <c r="L585" i="11"/>
  <c r="L578" i="11"/>
  <c r="L543" i="11"/>
  <c r="L503" i="11"/>
  <c r="L493" i="11"/>
  <c r="L472" i="11"/>
  <c r="L470" i="11"/>
  <c r="L467" i="11"/>
  <c r="L461" i="11"/>
  <c r="L456" i="11"/>
  <c r="L454" i="11"/>
  <c r="L452" i="11"/>
  <c r="L406" i="11"/>
  <c r="L383" i="11"/>
  <c r="L369" i="11"/>
  <c r="L367" i="11"/>
  <c r="L338" i="11"/>
  <c r="L326" i="11"/>
  <c r="L324" i="11"/>
  <c r="L307" i="11"/>
  <c r="L300" i="11"/>
  <c r="L294" i="11"/>
  <c r="L282" i="11"/>
  <c r="L250" i="11"/>
  <c r="L240" i="11"/>
  <c r="L238" i="11"/>
  <c r="L228" i="11"/>
  <c r="L223" i="11"/>
  <c r="L217" i="11"/>
  <c r="L209" i="11"/>
  <c r="L211" i="11"/>
  <c r="L202" i="11"/>
  <c r="L156" i="11"/>
  <c r="L154" i="11"/>
  <c r="L145" i="11"/>
  <c r="L131" i="11"/>
  <c r="L129" i="11"/>
  <c r="L120" i="11"/>
  <c r="L19" i="11"/>
  <c r="L17" i="11"/>
  <c r="M129" i="11" l="1"/>
  <c r="M543" i="11"/>
  <c r="M470" i="11" s="1"/>
  <c r="M154" i="11"/>
  <c r="M240" i="11"/>
  <c r="T471" i="11"/>
  <c r="T472" i="11"/>
  <c r="T473" i="11"/>
  <c r="T474" i="11"/>
  <c r="T475" i="11"/>
  <c r="T476" i="11"/>
  <c r="T477" i="11"/>
  <c r="T478" i="11"/>
  <c r="T479" i="11"/>
  <c r="T480" i="11"/>
  <c r="T481" i="11"/>
  <c r="T482" i="11"/>
  <c r="T483" i="11"/>
  <c r="T484" i="11"/>
  <c r="T485" i="11"/>
  <c r="T486" i="11"/>
  <c r="T487" i="11"/>
  <c r="T488" i="11"/>
  <c r="T489" i="11"/>
  <c r="T490" i="11"/>
  <c r="T491" i="11"/>
  <c r="T492" i="11"/>
  <c r="T493" i="11"/>
  <c r="T494" i="11"/>
  <c r="T495" i="11"/>
  <c r="T496" i="11"/>
  <c r="T497" i="11"/>
  <c r="T498" i="11"/>
  <c r="T499" i="11"/>
  <c r="T500" i="11"/>
  <c r="T501" i="11"/>
  <c r="T502" i="11"/>
  <c r="T503" i="11"/>
  <c r="T504" i="11"/>
  <c r="T505" i="11"/>
  <c r="T506" i="11"/>
  <c r="T507" i="11"/>
  <c r="T508" i="11"/>
  <c r="T509" i="11"/>
  <c r="T510" i="11"/>
  <c r="T511" i="11"/>
  <c r="T512" i="11"/>
  <c r="T513" i="11"/>
  <c r="T514" i="11"/>
  <c r="T515" i="11"/>
  <c r="T516" i="11"/>
  <c r="T517" i="11"/>
  <c r="T518" i="11"/>
  <c r="T519" i="11"/>
  <c r="T520" i="11"/>
  <c r="T521" i="11"/>
  <c r="T522" i="11"/>
  <c r="T523" i="11"/>
  <c r="T524" i="11"/>
  <c r="T525" i="11"/>
  <c r="T526" i="11"/>
  <c r="T527" i="11"/>
  <c r="T528" i="11"/>
  <c r="T529" i="11"/>
  <c r="T530" i="11"/>
  <c r="T531" i="11"/>
  <c r="T532" i="11"/>
  <c r="T533" i="11"/>
  <c r="T534" i="11"/>
  <c r="T535" i="11"/>
  <c r="T536" i="11"/>
  <c r="T537" i="11"/>
  <c r="T538" i="11"/>
  <c r="T539" i="11"/>
  <c r="T540" i="11"/>
  <c r="T541" i="11"/>
  <c r="T542" i="11"/>
  <c r="T543" i="11"/>
  <c r="T544" i="11"/>
  <c r="T545" i="11"/>
  <c r="T546" i="11"/>
  <c r="T547" i="11"/>
  <c r="T548" i="11"/>
  <c r="T549" i="11"/>
  <c r="T550" i="11"/>
  <c r="T551" i="11"/>
  <c r="T552" i="11"/>
  <c r="T553" i="11"/>
  <c r="T554" i="11"/>
  <c r="T555" i="11"/>
  <c r="T556" i="11"/>
  <c r="T557" i="11"/>
  <c r="T558" i="11"/>
  <c r="T559" i="11"/>
  <c r="T560" i="11"/>
  <c r="T561" i="11"/>
  <c r="T562" i="11"/>
  <c r="T563" i="11"/>
  <c r="T564" i="11"/>
  <c r="T565" i="11"/>
  <c r="T566" i="11"/>
  <c r="T567" i="11"/>
  <c r="T568" i="11"/>
  <c r="T569" i="11"/>
  <c r="T570" i="11"/>
  <c r="T571" i="11"/>
  <c r="T572" i="11"/>
  <c r="T573" i="11"/>
  <c r="T574" i="11"/>
  <c r="T575" i="11"/>
  <c r="T576" i="11"/>
  <c r="T577" i="11"/>
  <c r="T578" i="11"/>
  <c r="T579" i="11"/>
  <c r="T580" i="11"/>
  <c r="T581" i="11"/>
  <c r="T582" i="11"/>
  <c r="T583" i="11"/>
  <c r="T584" i="11"/>
  <c r="T585" i="11"/>
  <c r="T586" i="11"/>
  <c r="T587" i="11"/>
  <c r="T588" i="11"/>
  <c r="T589" i="11"/>
  <c r="T590" i="11"/>
  <c r="T591" i="11"/>
  <c r="T592" i="11"/>
  <c r="T593" i="11"/>
  <c r="T594" i="11"/>
  <c r="T595" i="11"/>
  <c r="T596" i="11"/>
  <c r="T597" i="11"/>
  <c r="T598" i="11"/>
  <c r="T599" i="11"/>
  <c r="T600" i="11"/>
  <c r="T601" i="11"/>
  <c r="T602" i="11"/>
  <c r="T603" i="11"/>
  <c r="T604" i="11"/>
  <c r="T605" i="11"/>
  <c r="T606" i="11"/>
  <c r="T607" i="11"/>
  <c r="T608" i="11"/>
  <c r="T609" i="11"/>
  <c r="T610" i="11"/>
  <c r="T611" i="11"/>
  <c r="T612" i="11"/>
  <c r="T613" i="11"/>
  <c r="T614" i="11"/>
  <c r="T615" i="11"/>
  <c r="T616" i="11"/>
  <c r="T617" i="11"/>
  <c r="T618" i="11"/>
  <c r="T619" i="11"/>
  <c r="T620" i="11"/>
  <c r="T621" i="11"/>
  <c r="T622" i="11"/>
  <c r="T623" i="11"/>
  <c r="T624" i="11"/>
  <c r="T625" i="11"/>
  <c r="T626" i="11"/>
  <c r="T627" i="11"/>
  <c r="T628" i="11"/>
  <c r="T629" i="11"/>
  <c r="T630" i="11"/>
  <c r="T631" i="11"/>
  <c r="T632" i="11"/>
  <c r="T633" i="11"/>
  <c r="T634" i="11"/>
  <c r="T635" i="11"/>
  <c r="T636" i="11"/>
  <c r="T637" i="11"/>
  <c r="T638" i="11"/>
  <c r="T639" i="11"/>
  <c r="T640" i="11"/>
  <c r="T641" i="11"/>
  <c r="T642" i="11"/>
  <c r="T643" i="11"/>
  <c r="T644" i="11"/>
  <c r="T645" i="11"/>
  <c r="T646" i="11"/>
  <c r="T647" i="11"/>
  <c r="T648" i="11"/>
  <c r="T649" i="11"/>
  <c r="T650" i="11"/>
  <c r="T651" i="11"/>
  <c r="T652" i="11"/>
  <c r="T653" i="11"/>
  <c r="T654" i="11"/>
  <c r="T655" i="11"/>
  <c r="T656" i="11"/>
  <c r="T657" i="11"/>
  <c r="T658" i="11"/>
  <c r="T659" i="11"/>
  <c r="T660" i="11"/>
  <c r="T661" i="11"/>
  <c r="T662" i="11"/>
  <c r="T663" i="11"/>
  <c r="T664" i="11"/>
  <c r="T665" i="11"/>
  <c r="T666" i="11"/>
  <c r="T667" i="11"/>
  <c r="T668" i="11"/>
  <c r="T669" i="11"/>
  <c r="T670" i="11"/>
  <c r="T671" i="11"/>
  <c r="T672" i="11"/>
  <c r="T673" i="11"/>
  <c r="T674" i="11"/>
  <c r="T675" i="11"/>
  <c r="T676" i="11"/>
  <c r="T677" i="11"/>
  <c r="T678" i="11"/>
  <c r="T679" i="11"/>
  <c r="T680" i="11"/>
  <c r="T681" i="11"/>
  <c r="T682" i="11"/>
  <c r="T683" i="11"/>
  <c r="T684" i="11"/>
  <c r="T685" i="11"/>
  <c r="T686" i="11"/>
  <c r="T687" i="11"/>
  <c r="T688" i="11"/>
  <c r="T689" i="11"/>
  <c r="T690" i="11"/>
  <c r="T691" i="11"/>
  <c r="T692" i="11"/>
  <c r="T693" i="11"/>
  <c r="T694" i="11"/>
  <c r="T695" i="11"/>
  <c r="T696" i="11"/>
  <c r="T697" i="11"/>
  <c r="T698" i="11"/>
  <c r="T699" i="11"/>
  <c r="T700" i="11"/>
  <c r="T701" i="11"/>
  <c r="T702" i="11"/>
  <c r="T703" i="11"/>
  <c r="T704" i="11"/>
  <c r="T705" i="11"/>
  <c r="T706" i="11"/>
  <c r="T707" i="11"/>
  <c r="T708" i="11"/>
  <c r="T709" i="11"/>
  <c r="T710" i="11"/>
  <c r="T711" i="11"/>
  <c r="T712" i="11"/>
  <c r="T713" i="11"/>
  <c r="T714" i="11"/>
  <c r="T715" i="11"/>
  <c r="T716" i="11"/>
  <c r="T717" i="11"/>
  <c r="T718" i="11"/>
  <c r="T719" i="11"/>
  <c r="T720" i="11"/>
  <c r="T721" i="11"/>
  <c r="T722" i="11"/>
  <c r="T723" i="11"/>
  <c r="T724" i="11"/>
  <c r="T725" i="11"/>
  <c r="T726" i="11"/>
  <c r="T727" i="11"/>
  <c r="T728" i="11"/>
  <c r="T729" i="11"/>
  <c r="T730" i="11"/>
  <c r="T731" i="11"/>
  <c r="T732" i="11"/>
  <c r="T733" i="11"/>
  <c r="T734" i="11"/>
  <c r="T735" i="11"/>
  <c r="T736" i="11"/>
  <c r="T737" i="11"/>
  <c r="T738" i="11"/>
  <c r="T739" i="11"/>
  <c r="T740" i="11"/>
  <c r="T741" i="11"/>
  <c r="T742" i="11"/>
  <c r="T743" i="11"/>
  <c r="T744" i="11"/>
  <c r="T745" i="11"/>
  <c r="T746" i="11"/>
  <c r="T747" i="11"/>
  <c r="T748" i="11"/>
  <c r="T749" i="11"/>
  <c r="T750" i="11"/>
  <c r="T751" i="11"/>
  <c r="T752" i="11"/>
  <c r="T753" i="11"/>
  <c r="T754" i="11"/>
  <c r="T755" i="11"/>
  <c r="T756" i="11"/>
  <c r="T757" i="11"/>
  <c r="T758" i="11"/>
  <c r="T759" i="11"/>
  <c r="T760" i="11"/>
  <c r="T761" i="11"/>
  <c r="T762" i="11"/>
  <c r="T763" i="11"/>
  <c r="T764" i="11"/>
  <c r="T765" i="11"/>
  <c r="T766" i="11"/>
  <c r="T767" i="11"/>
  <c r="T768" i="11"/>
  <c r="T769" i="11"/>
  <c r="T770" i="11"/>
  <c r="T771" i="11"/>
  <c r="T772" i="11"/>
  <c r="T773" i="11"/>
  <c r="T774" i="11"/>
  <c r="T775" i="11"/>
  <c r="T776" i="11"/>
  <c r="T777" i="11"/>
  <c r="T778" i="11"/>
  <c r="T779" i="11"/>
  <c r="T780" i="11"/>
  <c r="T781" i="11"/>
  <c r="T782" i="11"/>
  <c r="T783" i="11"/>
  <c r="T784" i="11"/>
  <c r="T785" i="11"/>
  <c r="T786" i="11"/>
  <c r="T787" i="11"/>
  <c r="T788" i="11"/>
  <c r="T789" i="11"/>
  <c r="T790" i="11"/>
  <c r="T791" i="11"/>
  <c r="T792" i="11"/>
  <c r="T793" i="11"/>
  <c r="T794" i="11"/>
  <c r="T795" i="11"/>
  <c r="T796" i="11"/>
  <c r="T797" i="11"/>
  <c r="T798" i="11"/>
  <c r="T799" i="11"/>
  <c r="T800" i="11"/>
  <c r="T801" i="11"/>
  <c r="T802" i="11"/>
  <c r="T803" i="11"/>
  <c r="T804" i="11"/>
  <c r="T805" i="11"/>
  <c r="T806" i="11"/>
  <c r="T807" i="11"/>
  <c r="T808" i="11"/>
  <c r="T809" i="11"/>
  <c r="T810" i="11"/>
  <c r="T811" i="11"/>
  <c r="T812" i="11"/>
  <c r="T813" i="11"/>
  <c r="T814" i="11"/>
  <c r="T815" i="11"/>
  <c r="T816" i="11"/>
  <c r="T817" i="11"/>
  <c r="T818" i="11"/>
  <c r="T819" i="11"/>
  <c r="T820" i="11"/>
  <c r="T821" i="11"/>
  <c r="T822" i="11"/>
  <c r="T823" i="11"/>
  <c r="T824" i="11"/>
  <c r="T825" i="11"/>
  <c r="T826" i="11"/>
  <c r="T827" i="11"/>
  <c r="T828" i="11"/>
  <c r="T829" i="11"/>
  <c r="T830" i="11"/>
  <c r="T831" i="11"/>
  <c r="T832" i="11"/>
  <c r="T833" i="11"/>
  <c r="T834" i="11"/>
  <c r="T835" i="11"/>
  <c r="T836" i="11"/>
  <c r="T837" i="11"/>
  <c r="T838" i="11"/>
  <c r="T839" i="11"/>
  <c r="T840" i="11"/>
  <c r="T841" i="11"/>
  <c r="T842" i="11"/>
  <c r="T843" i="11"/>
  <c r="T844" i="11"/>
  <c r="T845" i="11"/>
  <c r="T846" i="11"/>
  <c r="T847" i="11"/>
  <c r="T848" i="11"/>
  <c r="T849" i="11"/>
  <c r="T850" i="11"/>
  <c r="T851" i="11"/>
  <c r="T852" i="11"/>
  <c r="T853" i="11"/>
  <c r="T854" i="11"/>
  <c r="T855" i="11"/>
  <c r="T856" i="11"/>
  <c r="T857" i="11"/>
  <c r="T858" i="11"/>
  <c r="T859" i="11"/>
  <c r="T860" i="11"/>
  <c r="T861" i="11"/>
  <c r="T862" i="11"/>
  <c r="T863"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201" i="11"/>
  <c r="T202" i="11"/>
  <c r="T203" i="11"/>
  <c r="T204" i="11"/>
  <c r="T205" i="11"/>
  <c r="T206" i="11"/>
  <c r="T207" i="11"/>
  <c r="T208" i="11"/>
  <c r="T209" i="11"/>
  <c r="T210" i="11"/>
  <c r="T211" i="11"/>
  <c r="T212" i="11"/>
  <c r="T213" i="11"/>
  <c r="T214" i="11"/>
  <c r="T215" i="11"/>
  <c r="T216" i="11"/>
  <c r="T217" i="11"/>
  <c r="T218" i="11"/>
  <c r="T219" i="11"/>
  <c r="T220" i="11"/>
  <c r="T221" i="11"/>
  <c r="T222" i="11"/>
  <c r="T223" i="11"/>
  <c r="T224" i="11"/>
  <c r="T225" i="11"/>
  <c r="T226" i="11"/>
  <c r="T227" i="11"/>
  <c r="T228" i="11"/>
  <c r="T229" i="11"/>
  <c r="T230" i="11"/>
  <c r="T231" i="11"/>
  <c r="T232" i="11"/>
  <c r="T233" i="11"/>
  <c r="T234" i="11"/>
  <c r="T235" i="11"/>
  <c r="T236" i="11"/>
  <c r="T237" i="11"/>
  <c r="T238" i="11"/>
  <c r="T239" i="11"/>
  <c r="T240" i="11"/>
  <c r="T241" i="11"/>
  <c r="T242" i="11"/>
  <c r="T243" i="11"/>
  <c r="T244" i="11"/>
  <c r="T245" i="11"/>
  <c r="T246" i="11"/>
  <c r="T247" i="11"/>
  <c r="T248" i="11"/>
  <c r="T249" i="11"/>
  <c r="T250" i="11"/>
  <c r="T251" i="11"/>
  <c r="T252" i="11"/>
  <c r="T253" i="11"/>
  <c r="T254" i="11"/>
  <c r="T255" i="11"/>
  <c r="T256" i="11"/>
  <c r="T257" i="11"/>
  <c r="T258" i="11"/>
  <c r="T259" i="11"/>
  <c r="T260" i="11"/>
  <c r="T261" i="11"/>
  <c r="T262" i="11"/>
  <c r="T263" i="11"/>
  <c r="T264" i="11"/>
  <c r="T265" i="11"/>
  <c r="T266" i="11"/>
  <c r="T267" i="11"/>
  <c r="T268" i="11"/>
  <c r="T269" i="11"/>
  <c r="T270" i="11"/>
  <c r="T271" i="11"/>
  <c r="T272" i="11"/>
  <c r="T273" i="11"/>
  <c r="T274" i="11"/>
  <c r="T275" i="11"/>
  <c r="T276" i="11"/>
  <c r="T277" i="11"/>
  <c r="T278" i="11"/>
  <c r="T279" i="11"/>
  <c r="T280" i="11"/>
  <c r="T281" i="11"/>
  <c r="T282" i="11"/>
  <c r="T283" i="11"/>
  <c r="T284" i="11"/>
  <c r="T285" i="11"/>
  <c r="T286" i="11"/>
  <c r="T287" i="11"/>
  <c r="T288" i="11"/>
  <c r="T289" i="11"/>
  <c r="T290" i="11"/>
  <c r="T291" i="11"/>
  <c r="T292" i="11"/>
  <c r="T293" i="11"/>
  <c r="T294" i="11"/>
  <c r="T295" i="11"/>
  <c r="T296" i="11"/>
  <c r="T297" i="11"/>
  <c r="T298" i="11"/>
  <c r="T299" i="11"/>
  <c r="T300" i="11"/>
  <c r="T301" i="11"/>
  <c r="T302" i="11"/>
  <c r="T303" i="11"/>
  <c r="T304" i="11"/>
  <c r="T305" i="11"/>
  <c r="T306" i="11"/>
  <c r="T307" i="11"/>
  <c r="T308" i="11"/>
  <c r="T309" i="11"/>
  <c r="T310" i="11"/>
  <c r="T311" i="11"/>
  <c r="T312" i="11"/>
  <c r="T313" i="11"/>
  <c r="T314" i="11"/>
  <c r="T315" i="11"/>
  <c r="T316" i="11"/>
  <c r="T317" i="11"/>
  <c r="T318" i="11"/>
  <c r="T319" i="11"/>
  <c r="T320" i="11"/>
  <c r="T321" i="11"/>
  <c r="T322" i="11"/>
  <c r="T323" i="11"/>
  <c r="T324" i="11"/>
  <c r="T325" i="11"/>
  <c r="T326" i="11"/>
  <c r="T327" i="11"/>
  <c r="T328" i="11"/>
  <c r="T329" i="11"/>
  <c r="T330" i="11"/>
  <c r="T331" i="11"/>
  <c r="T332" i="11"/>
  <c r="T333" i="11"/>
  <c r="T334" i="11"/>
  <c r="T335" i="11"/>
  <c r="T336" i="11"/>
  <c r="T337" i="11"/>
  <c r="T338" i="11"/>
  <c r="T339" i="11"/>
  <c r="T340" i="11"/>
  <c r="T341" i="11"/>
  <c r="T342" i="11"/>
  <c r="T343" i="11"/>
  <c r="T344" i="11"/>
  <c r="T345" i="11"/>
  <c r="T346" i="11"/>
  <c r="T347" i="11"/>
  <c r="T348" i="11"/>
  <c r="T349" i="11"/>
  <c r="T350" i="11"/>
  <c r="T351" i="11"/>
  <c r="T352" i="11"/>
  <c r="T353" i="11"/>
  <c r="T354" i="11"/>
  <c r="T355" i="11"/>
  <c r="T356" i="11"/>
  <c r="T357" i="11"/>
  <c r="T358" i="11"/>
  <c r="T359" i="11"/>
  <c r="T360" i="11"/>
  <c r="T361" i="11"/>
  <c r="T362" i="11"/>
  <c r="T363" i="11"/>
  <c r="T364" i="11"/>
  <c r="T365" i="11"/>
  <c r="T366" i="11"/>
  <c r="T367" i="11"/>
  <c r="T368" i="11"/>
  <c r="T369" i="11"/>
  <c r="T370" i="11"/>
  <c r="T371" i="11"/>
  <c r="T372" i="11"/>
  <c r="T373" i="11"/>
  <c r="T374" i="11"/>
  <c r="T375" i="11"/>
  <c r="T376" i="11"/>
  <c r="T377" i="11"/>
  <c r="T378" i="11"/>
  <c r="T379" i="11"/>
  <c r="T380" i="11"/>
  <c r="T381" i="11"/>
  <c r="T382" i="11"/>
  <c r="T383" i="11"/>
  <c r="T384" i="11"/>
  <c r="T385" i="11"/>
  <c r="T386" i="11"/>
  <c r="T387" i="11"/>
  <c r="T388" i="11"/>
  <c r="T389" i="11"/>
  <c r="T390" i="11"/>
  <c r="T391" i="11"/>
  <c r="T392" i="11"/>
  <c r="T393" i="11"/>
  <c r="T394" i="11"/>
  <c r="T395" i="11"/>
  <c r="T396" i="11"/>
  <c r="T397" i="11"/>
  <c r="T398" i="11"/>
  <c r="T399" i="11"/>
  <c r="T400" i="11"/>
  <c r="T401" i="11"/>
  <c r="T402" i="11"/>
  <c r="T403" i="11"/>
  <c r="T404" i="11"/>
  <c r="T405" i="11"/>
  <c r="T406" i="11"/>
  <c r="T407" i="11"/>
  <c r="T408" i="11"/>
  <c r="T409" i="11"/>
  <c r="T410" i="11"/>
  <c r="T411" i="11"/>
  <c r="T412" i="11"/>
  <c r="T413" i="11"/>
  <c r="T414" i="11"/>
  <c r="T415" i="11"/>
  <c r="T416" i="11"/>
  <c r="T417" i="11"/>
  <c r="T418" i="11"/>
  <c r="T419" i="11"/>
  <c r="T420" i="11"/>
  <c r="T421" i="11"/>
  <c r="T422" i="11"/>
  <c r="T423" i="11"/>
  <c r="T424" i="11"/>
  <c r="T425" i="11"/>
  <c r="T426" i="11"/>
  <c r="T427" i="11"/>
  <c r="T428" i="11"/>
  <c r="T429" i="11"/>
  <c r="T430" i="11"/>
  <c r="T431" i="11"/>
  <c r="T432" i="11"/>
  <c r="T433" i="11"/>
  <c r="T434" i="11"/>
  <c r="T435" i="11"/>
  <c r="T436" i="11"/>
  <c r="T437" i="11"/>
  <c r="T438" i="11"/>
  <c r="T439" i="11"/>
  <c r="T440" i="11"/>
  <c r="T441" i="11"/>
  <c r="T442" i="11"/>
  <c r="T443" i="11"/>
  <c r="T444" i="11"/>
  <c r="T445" i="11"/>
  <c r="T446" i="11"/>
  <c r="T447" i="11"/>
  <c r="T448" i="11"/>
  <c r="T449" i="11"/>
  <c r="T450" i="11"/>
  <c r="T451" i="11"/>
  <c r="T452" i="11"/>
  <c r="T453" i="11"/>
  <c r="T454" i="11"/>
  <c r="T455" i="11"/>
  <c r="T456" i="11"/>
  <c r="T457" i="11"/>
  <c r="T458" i="11"/>
  <c r="T459" i="11"/>
  <c r="T460" i="11"/>
  <c r="T461" i="11"/>
  <c r="T462" i="11"/>
  <c r="T463" i="11"/>
  <c r="T464" i="11"/>
  <c r="T465" i="11"/>
  <c r="T466" i="11"/>
  <c r="T467" i="11"/>
  <c r="T468" i="11"/>
  <c r="T469" i="11"/>
  <c r="T470" i="11"/>
  <c r="T17" i="11"/>
  <c r="M632" i="11" l="1"/>
  <c r="M646" i="11"/>
  <c r="M640" i="11"/>
  <c r="M631" i="11"/>
  <c r="M630" i="11"/>
  <c r="M629" i="11" s="1"/>
  <c r="M627" i="11" l="1"/>
  <c r="R656" i="11" l="1"/>
  <c r="R715" i="11"/>
  <c r="I55" i="5"/>
  <c r="I56" i="5"/>
  <c r="I57" i="5"/>
  <c r="I58" i="5"/>
  <c r="I59" i="5"/>
  <c r="I60" i="5"/>
  <c r="I61" i="5"/>
  <c r="I62" i="5"/>
  <c r="I63" i="5"/>
  <c r="I64" i="5"/>
  <c r="H55" i="5"/>
  <c r="H56" i="5"/>
  <c r="H57" i="5"/>
  <c r="H58" i="5"/>
  <c r="H59" i="5"/>
  <c r="H60" i="5"/>
  <c r="H61" i="5"/>
  <c r="H62" i="5"/>
  <c r="H63" i="5"/>
  <c r="H64" i="5"/>
  <c r="G55" i="5"/>
  <c r="G56" i="5"/>
  <c r="G57" i="5"/>
  <c r="G58" i="5"/>
  <c r="G59" i="5"/>
  <c r="G60" i="5"/>
  <c r="G61" i="5"/>
  <c r="G62" i="5"/>
  <c r="G63" i="5"/>
  <c r="G64" i="5"/>
  <c r="F55" i="5"/>
  <c r="F56" i="5"/>
  <c r="F57" i="5"/>
  <c r="F58" i="5"/>
  <c r="F59" i="5"/>
  <c r="F60" i="5"/>
  <c r="F61" i="5"/>
  <c r="F62" i="5"/>
  <c r="F63" i="5"/>
  <c r="F64" i="5"/>
  <c r="E55" i="5"/>
  <c r="E56" i="5"/>
  <c r="E57" i="5"/>
  <c r="E58" i="5"/>
  <c r="E59" i="5"/>
  <c r="E60" i="5"/>
  <c r="E61" i="5"/>
  <c r="E62" i="5"/>
  <c r="E63" i="5"/>
  <c r="E64" i="5"/>
  <c r="D56" i="5"/>
  <c r="D57" i="5"/>
  <c r="D58" i="5"/>
  <c r="D59" i="5"/>
  <c r="D60" i="5"/>
  <c r="D61" i="5"/>
  <c r="D62" i="5"/>
  <c r="D63" i="5"/>
  <c r="D64" i="5"/>
  <c r="C56" i="5"/>
  <c r="C57" i="5"/>
  <c r="C58" i="5"/>
  <c r="C59" i="5"/>
  <c r="C60" i="5"/>
  <c r="C61" i="5"/>
  <c r="C62" i="5"/>
  <c r="C63" i="5"/>
  <c r="C64" i="5"/>
  <c r="C17" i="5" s="1"/>
  <c r="J15" i="5" l="1"/>
  <c r="I15" i="5"/>
  <c r="H15" i="5"/>
  <c r="G15" i="5"/>
  <c r="E15" i="5"/>
  <c r="D15" i="5"/>
  <c r="C15" i="5"/>
  <c r="M214" i="11"/>
  <c r="M211" i="11" s="1"/>
  <c r="M220" i="11"/>
  <c r="M221" i="11"/>
  <c r="M226" i="11"/>
  <c r="M223" i="11" s="1"/>
  <c r="M232" i="11"/>
  <c r="M228" i="11" s="1"/>
  <c r="M294" i="11"/>
  <c r="M300" i="11"/>
  <c r="M312" i="11"/>
  <c r="M307" i="11" s="1"/>
  <c r="M341" i="11"/>
  <c r="M338" i="11" s="1"/>
  <c r="M324" i="11" s="1"/>
  <c r="M369" i="11"/>
  <c r="M384" i="11"/>
  <c r="M400" i="11"/>
  <c r="M401" i="11"/>
  <c r="M403" i="11"/>
  <c r="M419" i="11"/>
  <c r="M406" i="11" s="1"/>
  <c r="M456" i="11"/>
  <c r="M670" i="11"/>
  <c r="M722" i="11"/>
  <c r="M719" i="11" s="1"/>
  <c r="M724" i="11"/>
  <c r="M728" i="11"/>
  <c r="M726" i="11" s="1"/>
  <c r="M732" i="11"/>
  <c r="N757" i="11"/>
  <c r="M757" i="11"/>
  <c r="O628" i="11"/>
  <c r="O630" i="11"/>
  <c r="O631" i="11"/>
  <c r="O632" i="11"/>
  <c r="O633" i="11"/>
  <c r="O634" i="11"/>
  <c r="O635" i="11"/>
  <c r="O636" i="11"/>
  <c r="O637" i="11"/>
  <c r="O638" i="11"/>
  <c r="O639" i="11"/>
  <c r="O640" i="11"/>
  <c r="O641" i="11"/>
  <c r="O642" i="11"/>
  <c r="O643" i="11"/>
  <c r="O644" i="11"/>
  <c r="O645" i="11"/>
  <c r="O647" i="11"/>
  <c r="O648" i="11"/>
  <c r="O649" i="11"/>
  <c r="O650" i="11"/>
  <c r="O651" i="11"/>
  <c r="N652" i="11"/>
  <c r="N627" i="11"/>
  <c r="O627" i="11" s="1"/>
  <c r="I16" i="5" s="1"/>
  <c r="N590" i="11"/>
  <c r="O453" i="11"/>
  <c r="O455" i="11"/>
  <c r="O457" i="11"/>
  <c r="O458" i="11"/>
  <c r="O459" i="11"/>
  <c r="O460" i="11"/>
  <c r="O462" i="11"/>
  <c r="O463" i="11"/>
  <c r="O464" i="11"/>
  <c r="O465" i="11"/>
  <c r="O466" i="11"/>
  <c r="O468" i="11"/>
  <c r="O469" i="11"/>
  <c r="N470" i="11"/>
  <c r="O368" i="11"/>
  <c r="O370" i="11"/>
  <c r="O371" i="11"/>
  <c r="O372" i="11"/>
  <c r="O373" i="11"/>
  <c r="O374" i="11"/>
  <c r="O375" i="11"/>
  <c r="O376" i="11"/>
  <c r="O377" i="11"/>
  <c r="O378" i="11"/>
  <c r="O379" i="11"/>
  <c r="O380" i="11"/>
  <c r="O381" i="11"/>
  <c r="O382" i="11"/>
  <c r="O385" i="11"/>
  <c r="O386" i="11"/>
  <c r="O387" i="11"/>
  <c r="O388" i="11"/>
  <c r="O389" i="11"/>
  <c r="O390" i="11"/>
  <c r="O391" i="11"/>
  <c r="O392" i="11"/>
  <c r="O393" i="11"/>
  <c r="O394" i="11"/>
  <c r="O395" i="11"/>
  <c r="O396" i="11"/>
  <c r="O397" i="11"/>
  <c r="O398" i="11"/>
  <c r="O399" i="11"/>
  <c r="O402" i="11"/>
  <c r="O404" i="11"/>
  <c r="O405" i="11"/>
  <c r="O407" i="11"/>
  <c r="O408" i="11"/>
  <c r="O409" i="11"/>
  <c r="O410" i="11"/>
  <c r="O411" i="11"/>
  <c r="O412" i="11"/>
  <c r="O413" i="11"/>
  <c r="O414" i="11"/>
  <c r="O415" i="11"/>
  <c r="O416" i="11"/>
  <c r="O417" i="11"/>
  <c r="O418" i="11"/>
  <c r="O420" i="11"/>
  <c r="O421" i="11"/>
  <c r="O422" i="11"/>
  <c r="O423" i="11"/>
  <c r="O424" i="11"/>
  <c r="O425" i="11"/>
  <c r="O426" i="11"/>
  <c r="O427" i="11"/>
  <c r="O428" i="11"/>
  <c r="O429" i="11"/>
  <c r="O430" i="11"/>
  <c r="O431" i="11"/>
  <c r="O432" i="11"/>
  <c r="O433" i="11"/>
  <c r="O434" i="11"/>
  <c r="O435" i="11"/>
  <c r="O436" i="11"/>
  <c r="O437" i="11"/>
  <c r="O438" i="11"/>
  <c r="O439" i="11"/>
  <c r="O440" i="11"/>
  <c r="O441" i="11"/>
  <c r="O442" i="11"/>
  <c r="O443" i="11"/>
  <c r="O444" i="11"/>
  <c r="O445" i="11"/>
  <c r="O446" i="11"/>
  <c r="O447" i="11"/>
  <c r="O448" i="11"/>
  <c r="O449" i="11"/>
  <c r="O450" i="11"/>
  <c r="O451" i="11"/>
  <c r="N452" i="11"/>
  <c r="M718" i="11" l="1"/>
  <c r="M383" i="11"/>
  <c r="M367" i="11" s="1"/>
  <c r="M652" i="11"/>
  <c r="O652" i="11" s="1"/>
  <c r="M452" i="11"/>
  <c r="O452" i="11" s="1"/>
  <c r="M238" i="11"/>
  <c r="M217" i="11"/>
  <c r="M209" i="11" s="1"/>
  <c r="C16" i="5"/>
  <c r="E16" i="5"/>
  <c r="H16" i="5"/>
  <c r="J16" i="5"/>
  <c r="D16" i="5"/>
  <c r="G16" i="5"/>
  <c r="O470" i="11"/>
  <c r="O757" i="11"/>
  <c r="O419" i="11"/>
  <c r="O384" i="11"/>
  <c r="O325" i="11"/>
  <c r="O327" i="11"/>
  <c r="O328" i="11"/>
  <c r="O329" i="11"/>
  <c r="O330" i="11"/>
  <c r="O331" i="11"/>
  <c r="O332" i="11"/>
  <c r="O333" i="11"/>
  <c r="O334" i="11"/>
  <c r="O335" i="11"/>
  <c r="O336" i="11"/>
  <c r="O337" i="11"/>
  <c r="O339" i="11"/>
  <c r="O340" i="11"/>
  <c r="O342" i="11"/>
  <c r="O343" i="11"/>
  <c r="O344" i="11"/>
  <c r="O345" i="11"/>
  <c r="O346" i="11"/>
  <c r="O347" i="11"/>
  <c r="O348" i="11"/>
  <c r="O349" i="11"/>
  <c r="O350" i="11"/>
  <c r="O351" i="11"/>
  <c r="O352" i="11"/>
  <c r="O353" i="11"/>
  <c r="O354" i="11"/>
  <c r="O355" i="11"/>
  <c r="O356" i="11"/>
  <c r="O357" i="11"/>
  <c r="O358" i="11"/>
  <c r="O359" i="11"/>
  <c r="O360" i="11"/>
  <c r="O361" i="11"/>
  <c r="O362" i="11"/>
  <c r="O363" i="11"/>
  <c r="O364" i="11"/>
  <c r="O365" i="11"/>
  <c r="O366" i="11"/>
  <c r="N367" i="11"/>
  <c r="O403" i="11"/>
  <c r="O401" i="11"/>
  <c r="O239" i="11"/>
  <c r="O241" i="11"/>
  <c r="O242" i="11"/>
  <c r="O243" i="11"/>
  <c r="O244" i="11"/>
  <c r="O245" i="11"/>
  <c r="O246" i="11"/>
  <c r="O247" i="11"/>
  <c r="O248" i="11"/>
  <c r="O249" i="11"/>
  <c r="O251" i="11"/>
  <c r="O252" i="11"/>
  <c r="O253" i="11"/>
  <c r="O254" i="11"/>
  <c r="O255" i="11"/>
  <c r="O256" i="11"/>
  <c r="O257" i="11"/>
  <c r="O258" i="11"/>
  <c r="O259" i="11"/>
  <c r="O260" i="11"/>
  <c r="O261" i="11"/>
  <c r="O262" i="11"/>
  <c r="O263" i="11"/>
  <c r="O264" i="11"/>
  <c r="O265" i="11"/>
  <c r="O266" i="11"/>
  <c r="O267" i="11"/>
  <c r="O268" i="11"/>
  <c r="O269" i="11"/>
  <c r="O270" i="11"/>
  <c r="O271" i="11"/>
  <c r="O272" i="11"/>
  <c r="O273" i="11"/>
  <c r="O274" i="11"/>
  <c r="O275" i="11"/>
  <c r="O276" i="11"/>
  <c r="O277" i="11"/>
  <c r="O278" i="11"/>
  <c r="O279" i="11"/>
  <c r="O280" i="11"/>
  <c r="O281" i="11"/>
  <c r="O283" i="11"/>
  <c r="O284" i="11"/>
  <c r="O285" i="11"/>
  <c r="O286" i="11"/>
  <c r="O287" i="11"/>
  <c r="O288" i="11"/>
  <c r="O289" i="11"/>
  <c r="O290" i="11"/>
  <c r="O291" i="11"/>
  <c r="O292" i="11"/>
  <c r="O293" i="11"/>
  <c r="O295" i="11"/>
  <c r="O296" i="11"/>
  <c r="O297" i="11"/>
  <c r="O298" i="11"/>
  <c r="O299" i="11"/>
  <c r="O301" i="11"/>
  <c r="O302" i="11"/>
  <c r="O303" i="11"/>
  <c r="O304" i="11"/>
  <c r="O305" i="11"/>
  <c r="O306" i="11"/>
  <c r="O308" i="11"/>
  <c r="O309" i="11"/>
  <c r="O310" i="11"/>
  <c r="O311" i="11"/>
  <c r="O313" i="11"/>
  <c r="O314" i="11"/>
  <c r="O315" i="11"/>
  <c r="O316" i="11"/>
  <c r="O317" i="11"/>
  <c r="O319" i="11"/>
  <c r="O320" i="11"/>
  <c r="O321" i="11"/>
  <c r="O322" i="11"/>
  <c r="O323" i="11"/>
  <c r="O341" i="11"/>
  <c r="N324" i="11"/>
  <c r="O318" i="11"/>
  <c r="O312" i="11"/>
  <c r="N238" i="11"/>
  <c r="N209" i="11"/>
  <c r="N154" i="11"/>
  <c r="O154" i="11" s="1"/>
  <c r="N129" i="11"/>
  <c r="O129" i="11" s="1"/>
  <c r="N17" i="11"/>
  <c r="F16" i="5" l="1"/>
  <c r="I7" i="5"/>
  <c r="G7" i="5"/>
  <c r="D7" i="5"/>
  <c r="J7" i="5"/>
  <c r="H7" i="5"/>
  <c r="E7" i="5"/>
  <c r="C7" i="5"/>
  <c r="I8" i="5"/>
  <c r="G8" i="5"/>
  <c r="D8" i="5"/>
  <c r="J8" i="5"/>
  <c r="H8" i="5"/>
  <c r="E8" i="5"/>
  <c r="C8" i="5"/>
  <c r="J17" i="5"/>
  <c r="H17" i="5"/>
  <c r="E17" i="5"/>
  <c r="I17" i="5"/>
  <c r="G17" i="5"/>
  <c r="D17" i="5"/>
  <c r="J13" i="5"/>
  <c r="H13" i="5"/>
  <c r="E13" i="5"/>
  <c r="C13" i="5"/>
  <c r="I13" i="5"/>
  <c r="G13" i="5"/>
  <c r="D13" i="5"/>
  <c r="J14" i="5"/>
  <c r="H14" i="5"/>
  <c r="E14" i="5"/>
  <c r="C14" i="5"/>
  <c r="I14" i="5"/>
  <c r="G14" i="5"/>
  <c r="D14" i="5"/>
  <c r="O209" i="11"/>
  <c r="O238" i="11"/>
  <c r="O324" i="11"/>
  <c r="F11" i="5" s="1"/>
  <c r="O367" i="11"/>
  <c r="O400" i="11"/>
  <c r="P16" i="6" l="1"/>
  <c r="P41" i="30"/>
  <c r="Q41" i="30" s="1"/>
  <c r="F7" i="5"/>
  <c r="F17" i="5"/>
  <c r="F8" i="5"/>
  <c r="I12" i="5"/>
  <c r="G12" i="5"/>
  <c r="D12" i="5"/>
  <c r="J12" i="5"/>
  <c r="H12" i="5"/>
  <c r="E12" i="5"/>
  <c r="C12" i="5"/>
  <c r="P13" i="6" s="1"/>
  <c r="I11" i="5"/>
  <c r="G11" i="5"/>
  <c r="D11" i="5"/>
  <c r="J11" i="5"/>
  <c r="H11" i="5"/>
  <c r="E11" i="5"/>
  <c r="C11" i="5"/>
  <c r="J9" i="5"/>
  <c r="H9" i="5"/>
  <c r="E9" i="5"/>
  <c r="C9" i="5"/>
  <c r="I9" i="5"/>
  <c r="G9" i="5"/>
  <c r="D9" i="5"/>
  <c r="F14" i="5"/>
  <c r="J10" i="5"/>
  <c r="J18" i="5" s="1"/>
  <c r="H10" i="5"/>
  <c r="H18" i="5" s="1"/>
  <c r="E10" i="5"/>
  <c r="E18" i="5" s="1"/>
  <c r="C10" i="5"/>
  <c r="I10" i="5"/>
  <c r="I18" i="5" s="1"/>
  <c r="G10" i="5"/>
  <c r="G18" i="5" s="1"/>
  <c r="D10" i="5"/>
  <c r="D18" i="5" s="1"/>
  <c r="F13" i="5"/>
  <c r="P46" i="30" l="1"/>
  <c r="P44" i="30"/>
  <c r="Q44" i="30" s="1"/>
  <c r="C18" i="5"/>
  <c r="F9" i="5"/>
  <c r="I10" i="20"/>
  <c r="J10" i="20" s="1"/>
  <c r="N42" i="30" s="1"/>
  <c r="P11" i="6"/>
  <c r="P38" i="30"/>
  <c r="Q38" i="30" s="1"/>
  <c r="I9" i="20"/>
  <c r="J9" i="20" s="1"/>
  <c r="N41" i="30" s="1"/>
  <c r="N44" i="30"/>
  <c r="F10" i="5"/>
  <c r="F18" i="5" s="1"/>
  <c r="F12" i="5"/>
  <c r="P40" i="30" s="1"/>
  <c r="Q40" i="30" s="1"/>
  <c r="I13" i="20" l="1"/>
  <c r="Q46" i="30"/>
  <c r="I12" i="20"/>
  <c r="J12" i="20" s="1"/>
  <c r="I6" i="20"/>
  <c r="J6" i="20" s="1"/>
  <c r="N46" i="30"/>
  <c r="J13" i="20"/>
  <c r="I8" i="20"/>
  <c r="J8" i="20" s="1"/>
  <c r="N40" i="30" s="1"/>
  <c r="N38" i="30"/>
  <c r="F52" i="30" l="1"/>
  <c r="G6" i="5"/>
  <c r="G19" i="5" s="1"/>
  <c r="D6" i="5"/>
  <c r="D19" i="5" s="1"/>
  <c r="E6" i="5"/>
  <c r="E19" i="5" s="1"/>
  <c r="J6" i="5"/>
  <c r="J19" i="5" s="1"/>
  <c r="C6" i="5"/>
  <c r="C19" i="5" l="1"/>
  <c r="M24" i="6"/>
  <c r="M27" i="6" s="1"/>
  <c r="F6" i="5"/>
  <c r="F19" i="5" s="1"/>
  <c r="H6" i="5"/>
  <c r="H19" i="5" s="1"/>
  <c r="I6" i="5"/>
  <c r="I19" i="5" s="1"/>
  <c r="G3" i="5"/>
  <c r="D3" i="5"/>
  <c r="E3" i="5"/>
  <c r="H3" i="5"/>
  <c r="I3" i="5"/>
  <c r="J3" i="5"/>
  <c r="C3" i="5"/>
  <c r="L97" i="36" l="1"/>
  <c r="M29" i="6"/>
  <c r="P45" i="6" s="1"/>
  <c r="P46" i="6" s="1"/>
  <c r="L100" i="36"/>
  <c r="F3" i="5"/>
  <c r="M44" i="6" l="1"/>
  <c r="M43" i="6"/>
  <c r="M42" i="6"/>
  <c r="M46" i="6"/>
  <c r="P52" i="6"/>
  <c r="M48" i="6"/>
  <c r="L102" i="36"/>
  <c r="L106" i="36" s="1"/>
  <c r="P31" i="6"/>
  <c r="P36" i="6" s="1"/>
  <c r="F65" i="36" s="1"/>
  <c r="P21" i="6"/>
  <c r="P28" i="6" s="1"/>
  <c r="F63" i="36" s="1"/>
  <c r="M47" i="6"/>
  <c r="F54" i="30"/>
  <c r="I7" i="20"/>
  <c r="J7" i="20" l="1"/>
  <c r="J26" i="20" s="1"/>
  <c r="M38" i="6"/>
  <c r="M39" i="6" s="1"/>
  <c r="M40" i="6" s="1"/>
  <c r="P47" i="6"/>
  <c r="P51" i="6" s="1"/>
  <c r="P50" i="6"/>
  <c r="P26" i="6"/>
  <c r="F96" i="36"/>
  <c r="F97" i="36" s="1"/>
  <c r="P22" i="6"/>
  <c r="P32" i="6"/>
  <c r="P35" i="6"/>
  <c r="N39" i="30"/>
  <c r="G25" i="6"/>
  <c r="F100" i="36" l="1"/>
  <c r="F67" i="36"/>
  <c r="J67" i="36" s="1"/>
  <c r="G27" i="6"/>
  <c r="G28" i="6" s="1"/>
  <c r="J11" i="6" s="1"/>
  <c r="H78" i="30" l="1"/>
  <c r="H86" i="30"/>
  <c r="J78" i="30"/>
  <c r="J86" i="30"/>
  <c r="H82" i="30"/>
  <c r="J22" i="6"/>
  <c r="J82" i="30"/>
  <c r="F56" i="30"/>
  <c r="J37" i="6"/>
  <c r="F58" i="30" l="1"/>
  <c r="F61" i="30"/>
  <c r="J23" i="6"/>
  <c r="J27" i="6"/>
  <c r="J28" i="6"/>
  <c r="J17" i="6"/>
  <c r="J19" i="6"/>
  <c r="J12" i="6"/>
  <c r="J18" i="6" s="1"/>
  <c r="H77" i="30"/>
  <c r="H81" i="30"/>
  <c r="G40" i="6"/>
  <c r="G41" i="6" s="1"/>
  <c r="G42" i="6" s="1"/>
  <c r="J38" i="6"/>
  <c r="J44" i="6" s="1"/>
  <c r="P27" i="6"/>
  <c r="J24" i="6"/>
  <c r="H85" i="30" s="1"/>
  <c r="J13" i="6"/>
  <c r="J65" i="36" l="1"/>
  <c r="H66" i="30"/>
  <c r="L66" i="30" s="1"/>
  <c r="J42" i="6"/>
  <c r="J39" i="6"/>
  <c r="L52" i="30"/>
  <c r="L53" i="30" s="1"/>
  <c r="H68" i="30"/>
  <c r="L68" i="30" s="1"/>
  <c r="J63" i="36"/>
  <c r="F88" i="30"/>
  <c r="F102" i="36" l="1"/>
  <c r="J43" i="6"/>
  <c r="S42" i="30"/>
  <c r="S41" i="30"/>
  <c r="S40" i="30"/>
  <c r="S38" i="30"/>
  <c r="H70" i="30" l="1"/>
  <c r="L70" i="30" s="1"/>
  <c r="L58" i="30"/>
  <c r="L60" i="3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<sst xmlns="http://schemas.openxmlformats.org/spreadsheetml/2006/main" count="3555" uniqueCount="1840">
  <si>
    <t>Residential Affordability Assessment</t>
  </si>
  <si>
    <t>Application Name</t>
  </si>
  <si>
    <t>Adviser Name</t>
  </si>
  <si>
    <t>Date Completed</t>
  </si>
  <si>
    <t>Product Type</t>
  </si>
  <si>
    <t>Product Rate</t>
  </si>
  <si>
    <t xml:space="preserve">No. of applicants </t>
  </si>
  <si>
    <t>No. of dependant children residing in property</t>
  </si>
  <si>
    <t>Loan Required</t>
  </si>
  <si>
    <t>Type of mortgage required</t>
  </si>
  <si>
    <t>Mortgage required £</t>
  </si>
  <si>
    <t>Part &amp; Part</t>
  </si>
  <si>
    <t>Capital &amp; Interest</t>
  </si>
  <si>
    <t>Interest-Only</t>
  </si>
  <si>
    <t>Value of property</t>
  </si>
  <si>
    <t>Loan to Value</t>
  </si>
  <si>
    <t xml:space="preserve">Term required (years) </t>
  </si>
  <si>
    <t>Income</t>
  </si>
  <si>
    <t>Applicant 1</t>
  </si>
  <si>
    <t>Applicant 2</t>
  </si>
  <si>
    <t>Reliable Annual Overtime / Bonus</t>
  </si>
  <si>
    <t>Other Monthly Income</t>
  </si>
  <si>
    <t>Applicant 3</t>
  </si>
  <si>
    <t>Expenditure</t>
  </si>
  <si>
    <t>Loans/HP (Monthly Repayments)</t>
  </si>
  <si>
    <t>Credit Card (Total Balances)</t>
  </si>
  <si>
    <t>Other Unsecured Monthly Pmts</t>
  </si>
  <si>
    <t>School/Nursery Fees</t>
  </si>
  <si>
    <t>Other (Monthly Payments)</t>
  </si>
  <si>
    <t>Applicant 4</t>
  </si>
  <si>
    <t>Affordability Calculation</t>
  </si>
  <si>
    <t>Total Amount Requested</t>
  </si>
  <si>
    <t>Maximum Capital &amp; Interest loan (£)</t>
  </si>
  <si>
    <t>Outcome</t>
  </si>
  <si>
    <t>Maximum Interest Only loan  (£)</t>
  </si>
  <si>
    <t>Maximum Part &amp; Part loan (£)</t>
  </si>
  <si>
    <t>Employed</t>
  </si>
  <si>
    <t>Guidance Notes</t>
  </si>
  <si>
    <t>Annual Gross Income</t>
  </si>
  <si>
    <t>Annual Overtime / Bonus</t>
  </si>
  <si>
    <t>Net Monthly Income</t>
  </si>
  <si>
    <t>Land &amp; Property Income (Gross)</t>
  </si>
  <si>
    <t>Please enter the applicants profit from property rental income (minus mortgage payments and not based solely on SA302 computation)</t>
  </si>
  <si>
    <t>Land &amp; Property Income (Net)</t>
  </si>
  <si>
    <t>Other Income</t>
  </si>
  <si>
    <t xml:space="preserve">Benefit income (see policy for acceptable benefits) - Any other income types, please discuss with Intermediary Sales Team </t>
  </si>
  <si>
    <t>Cumulative monthly payments per applicant</t>
  </si>
  <si>
    <t>Credit Card (Balances)</t>
  </si>
  <si>
    <t>Total value of all credit cards held per applicant excluding regularly cleared credit cards</t>
  </si>
  <si>
    <t>Catalogues, credit agreements with over 3 months to run,</t>
  </si>
  <si>
    <t xml:space="preserve">Fees to be stated on a monthly basis. Please advise the Intermediary Sales Team if these fees are due to end. </t>
  </si>
  <si>
    <t>Example - Service charges or any regular bon-essential monthly expenditure items over £100pm</t>
  </si>
  <si>
    <t>Other</t>
  </si>
  <si>
    <t>5 Year Fixed and Discounted products are assessed against a lower stressed rate. This may change the maximum loan requested</t>
  </si>
  <si>
    <t>The product rate is required where a 5 year product has been selected. This allows us to assess affordability accurately</t>
  </si>
  <si>
    <t>Affordability Assessment</t>
  </si>
  <si>
    <t>The assessment is based on ONS figures. Please advise the Intermediary Sales Team if you believe expenditure to be higher than average.</t>
  </si>
  <si>
    <t>%</t>
  </si>
  <si>
    <t>Affordability Overview</t>
  </si>
  <si>
    <t>Repayment Type</t>
  </si>
  <si>
    <t>Gross Income Used</t>
  </si>
  <si>
    <t>Maximum Affordable Loan</t>
  </si>
  <si>
    <t>Net Monthly Income Used</t>
  </si>
  <si>
    <t>Maximum Affordable Loan Multiple</t>
  </si>
  <si>
    <t>ONS Total</t>
  </si>
  <si>
    <t>4.5x income</t>
  </si>
  <si>
    <t>Council Tax</t>
  </si>
  <si>
    <t>5x Income</t>
  </si>
  <si>
    <t>Commitments and Declared Expenditure</t>
  </si>
  <si>
    <t>90% of affordable Loan (&gt;4.5x)</t>
  </si>
  <si>
    <t>Total Expenditure</t>
  </si>
  <si>
    <t>Maximum Loan Available</t>
  </si>
  <si>
    <t>Amount Available for Mortgage</t>
  </si>
  <si>
    <t>Payment at Stressed rate</t>
  </si>
  <si>
    <t>Affordability</t>
  </si>
  <si>
    <t>PEL</t>
  </si>
  <si>
    <t>Proxy Expected Loss</t>
  </si>
  <si>
    <t>LTV</t>
  </si>
  <si>
    <t>BTL</t>
  </si>
  <si>
    <t>Holiday BTL</t>
  </si>
  <si>
    <t>Mainstream</t>
  </si>
  <si>
    <t>80% to 90%</t>
  </si>
  <si>
    <t>&gt;90%</t>
  </si>
  <si>
    <t>&lt;80%</t>
  </si>
  <si>
    <t>&lt;60%</t>
  </si>
  <si>
    <t>LTV Bands</t>
  </si>
  <si>
    <t>Description</t>
  </si>
  <si>
    <t>Less than 60%</t>
  </si>
  <si>
    <t>60 % &lt;70%</t>
  </si>
  <si>
    <t>70%  &lt;80%</t>
  </si>
  <si>
    <t>80%  &lt;90%</t>
  </si>
  <si>
    <t>90% &lt;95%</t>
  </si>
  <si>
    <r>
      <rPr>
        <sz val="11"/>
        <color theme="1"/>
        <rFont val="Calibri"/>
        <family val="2"/>
      </rPr>
      <t>≥</t>
    </r>
    <r>
      <rPr>
        <sz val="11"/>
        <color theme="1"/>
        <rFont val="Calibri"/>
        <family val="2"/>
        <scheme val="minor"/>
      </rPr>
      <t>95%</t>
    </r>
  </si>
  <si>
    <t>LEL Assumptions</t>
  </si>
  <si>
    <t>PD Scalar</t>
  </si>
  <si>
    <t>Current</t>
  </si>
  <si>
    <t>Resi</t>
  </si>
  <si>
    <t>Floors</t>
  </si>
  <si>
    <t>PD</t>
  </si>
  <si>
    <t>LGD</t>
  </si>
  <si>
    <t>5% on all loans</t>
  </si>
  <si>
    <t>On loans &gt;50% LTV</t>
  </si>
  <si>
    <t>Prob (Possession │Default)</t>
  </si>
  <si>
    <t>Haircut</t>
  </si>
  <si>
    <t>Sale Cost %</t>
  </si>
  <si>
    <t>Sale Costs - Cap</t>
  </si>
  <si>
    <t>Residential Affordability Calculator</t>
  </si>
  <si>
    <t>Borrower name(s)</t>
  </si>
  <si>
    <t>Prepared by:</t>
  </si>
  <si>
    <t>Application number</t>
  </si>
  <si>
    <t>Date prepared:</t>
  </si>
  <si>
    <t>Part &amp; Part                                                  Capital &amp; Interest</t>
  </si>
  <si>
    <t xml:space="preserve">Number of applicants </t>
  </si>
  <si>
    <t>Household - Number of adults residing in property</t>
  </si>
  <si>
    <t>Number of dependant children residing in property</t>
  </si>
  <si>
    <t>Credit Score</t>
  </si>
  <si>
    <t>Total Gross Annual Income</t>
  </si>
  <si>
    <t xml:space="preserve">Net Monthly income </t>
  </si>
  <si>
    <t>Monthly committed expenditure:</t>
  </si>
  <si>
    <t>Unsecured Credit Commitments</t>
  </si>
  <si>
    <t>Essential expenditure &amp; basic standard of living costs:</t>
  </si>
  <si>
    <t>ONS Category</t>
  </si>
  <si>
    <t>Amount Used</t>
  </si>
  <si>
    <t>Affordability based on</t>
  </si>
  <si>
    <t>ONS</t>
  </si>
  <si>
    <t>Higher Amount</t>
  </si>
  <si>
    <t>Override</t>
  </si>
  <si>
    <t>Council tax</t>
  </si>
  <si>
    <t>n/a</t>
  </si>
  <si>
    <t>Ground rent / service charge</t>
  </si>
  <si>
    <t>Home Fuel &amp; Utility Bills</t>
  </si>
  <si>
    <t>Food, groceries, toiletries and cleaning products</t>
  </si>
  <si>
    <t>1, 5 and 12</t>
  </si>
  <si>
    <t>Telephones / Internet / TV and Satellite costs</t>
  </si>
  <si>
    <t>8 &amp; 9</t>
  </si>
  <si>
    <t>Clothing and Footwear</t>
  </si>
  <si>
    <t>Other Noted Expenditure (from expenditure tab)</t>
  </si>
  <si>
    <t>Higher of ONS Miscellaneous Expenditure or 5% of Income</t>
  </si>
  <si>
    <t>Total Net Income</t>
  </si>
  <si>
    <t>Essential Expenditure</t>
  </si>
  <si>
    <t>Expenditure Total</t>
  </si>
  <si>
    <t>Income available for mortgage repayment</t>
  </si>
  <si>
    <t>Stressed Mortgage Payment</t>
  </si>
  <si>
    <t>Surplus Income Against Stress</t>
  </si>
  <si>
    <t>Mortgage Payment - Product Rate</t>
  </si>
  <si>
    <t>Loan as % of Max Affordable Loan</t>
  </si>
  <si>
    <t>Surplus Income Against Product Rate</t>
  </si>
  <si>
    <t>PEL Trigger</t>
  </si>
  <si>
    <t>Max Loan</t>
  </si>
  <si>
    <t>Loan Requested</t>
  </si>
  <si>
    <t>Decision</t>
  </si>
  <si>
    <t>Maximum Capital &amp; Interest loan based on data input (£)</t>
  </si>
  <si>
    <t>Maximum Interest Only loan based on data input (£)</t>
  </si>
  <si>
    <t>Maximum Part and Part loan based on data input (£)</t>
  </si>
  <si>
    <t xml:space="preserve">requested loan as % of max affordable C&amp;I loan </t>
  </si>
  <si>
    <t>Surplus income after stressed C&amp;I mortgage repayment(£) and (%)</t>
  </si>
  <si>
    <t>Interest Only</t>
  </si>
  <si>
    <t xml:space="preserve">requested loan as % of max affordable I/O loan </t>
  </si>
  <si>
    <t>Surplus income after stressed I/O mortgage repayment(£) and (%)</t>
  </si>
  <si>
    <t>Documentary evidence level -</t>
  </si>
  <si>
    <t xml:space="preserve">refer to guidance notes for details of evidence requirements </t>
  </si>
  <si>
    <t>Level</t>
  </si>
  <si>
    <t>Income evidence requirements</t>
  </si>
  <si>
    <t>Additional evidence requirements</t>
  </si>
  <si>
    <t>Self-employed</t>
  </si>
  <si>
    <t>Retired</t>
  </si>
  <si>
    <t>Latest 2 years Tax calculation summaries supported by the HMRC Tax year overviews and latest years accounts.</t>
  </si>
  <si>
    <t>Pension statement or 1 month pension advice slip (dated within the last 3months) Where &gt;3 months old an additional Bank Statement showing pension credit</t>
  </si>
  <si>
    <t>None</t>
  </si>
  <si>
    <t xml:space="preserve">Pension Statement dated within the last 3 months &amp; P60,  Where statement &gt;3 months main Bank Statements must show pension credit </t>
  </si>
  <si>
    <t>1 months personal main bank statement</t>
  </si>
  <si>
    <t>Above plus 3 months business bank statements</t>
  </si>
  <si>
    <t>3 months personal main bank statements</t>
  </si>
  <si>
    <t>*Note - Where Basic Salary fluctuates each month or additional income (e.g. Bonuses / Overtime/ Allowances) is used additional evidence may be requested e.g. P60.</t>
  </si>
  <si>
    <t>Term of mort</t>
  </si>
  <si>
    <t>Type of mort</t>
  </si>
  <si>
    <t>Dependants</t>
  </si>
  <si>
    <t>calculation</t>
  </si>
  <si>
    <t>Number of applicants</t>
  </si>
  <si>
    <t>Calculation</t>
  </si>
  <si>
    <t>Stressed Rate</t>
  </si>
  <si>
    <t>Source</t>
  </si>
  <si>
    <t>Mortgage Type</t>
  </si>
  <si>
    <t xml:space="preserve">Matrix </t>
  </si>
  <si>
    <t>Standard</t>
  </si>
  <si>
    <t>Adviser Input</t>
  </si>
  <si>
    <t>Pass</t>
  </si>
  <si>
    <t>Residential</t>
  </si>
  <si>
    <t>=90&gt;=95</t>
  </si>
  <si>
    <t>2+</t>
  </si>
  <si>
    <t>5-Year Fixed</t>
  </si>
  <si>
    <t>Bank Statement</t>
  </si>
  <si>
    <t>Fail</t>
  </si>
  <si>
    <t>Self-Build</t>
  </si>
  <si>
    <t>=80&gt;90</t>
  </si>
  <si>
    <t>Underwriter Input</t>
  </si>
  <si>
    <t>Marginal Pass</t>
  </si>
  <si>
    <t>=60&gt;80</t>
  </si>
  <si>
    <t>3+</t>
  </si>
  <si>
    <t>Refer</t>
  </si>
  <si>
    <t>&lt;60</t>
  </si>
  <si>
    <t>&lt;75</t>
  </si>
  <si>
    <t>75&gt;=90</t>
  </si>
  <si>
    <t>90&gt;=95</t>
  </si>
  <si>
    <t>95&gt;=100</t>
  </si>
  <si>
    <t xml:space="preserve"> % of max affordabe loan used</t>
  </si>
  <si>
    <t>Broker</t>
  </si>
  <si>
    <t>Calculations</t>
  </si>
  <si>
    <t>Direct</t>
  </si>
  <si>
    <t xml:space="preserve"> % of max affordability used</t>
  </si>
  <si>
    <t>Upper LTI</t>
  </si>
  <si>
    <t>Refer to Underwriter</t>
  </si>
  <si>
    <t xml:space="preserve">Total of Affordability x LTV </t>
  </si>
  <si>
    <t>level</t>
  </si>
  <si>
    <t>Level 1</t>
  </si>
  <si>
    <t>Level 2</t>
  </si>
  <si>
    <t>Level 3</t>
  </si>
  <si>
    <t>Level 4</t>
  </si>
  <si>
    <t>test</t>
  </si>
  <si>
    <t>Employed (Monthly)</t>
  </si>
  <si>
    <t>3 (latest)</t>
  </si>
  <si>
    <t>Weighting</t>
  </si>
  <si>
    <t>Basic Pay</t>
  </si>
  <si>
    <r>
      <rPr>
        <b/>
        <sz val="11"/>
        <color theme="1"/>
        <rFont val="Calibri"/>
        <family val="2"/>
        <scheme val="minor"/>
      </rPr>
      <t>Gross Monthly</t>
    </r>
    <r>
      <rPr>
        <sz val="11"/>
        <color theme="1"/>
        <rFont val="Calibri"/>
        <family val="2"/>
        <scheme val="minor"/>
      </rPr>
      <t xml:space="preserve"> Basic</t>
    </r>
  </si>
  <si>
    <r>
      <rPr>
        <b/>
        <sz val="11"/>
        <color theme="1"/>
        <rFont val="Calibri"/>
        <family val="2"/>
        <scheme val="minor"/>
      </rPr>
      <t>Net Monthly</t>
    </r>
    <r>
      <rPr>
        <sz val="11"/>
        <color theme="1"/>
        <rFont val="Calibri"/>
        <family val="2"/>
        <scheme val="minor"/>
      </rPr>
      <t xml:space="preserve"> Basic</t>
    </r>
  </si>
  <si>
    <t>Overtime</t>
  </si>
  <si>
    <t>Gross Overtime</t>
  </si>
  <si>
    <t>Net Monthly O/T</t>
  </si>
  <si>
    <t>Self-Employed (Annual)</t>
  </si>
  <si>
    <t>AVG</t>
  </si>
  <si>
    <t>Net Profit</t>
  </si>
  <si>
    <t>Gross Net Profit</t>
  </si>
  <si>
    <t>Net Profit After Tax</t>
  </si>
  <si>
    <t>Salary</t>
  </si>
  <si>
    <t>Gross Salary</t>
  </si>
  <si>
    <t>Net Salary</t>
  </si>
  <si>
    <t>Dividends</t>
  </si>
  <si>
    <t>Gross Dividends</t>
  </si>
  <si>
    <t>Net Dividends</t>
  </si>
  <si>
    <t>Rental Income</t>
  </si>
  <si>
    <t>Gross Land and Property</t>
  </si>
  <si>
    <t>Net Land and Property</t>
  </si>
  <si>
    <t>Retired (Monthly)</t>
  </si>
  <si>
    <t>State</t>
  </si>
  <si>
    <t>State Pension</t>
  </si>
  <si>
    <t>Private Pension 1</t>
  </si>
  <si>
    <t>PP1 Gross</t>
  </si>
  <si>
    <t>PP 1 Net</t>
  </si>
  <si>
    <t>Private Pension 2</t>
  </si>
  <si>
    <t>PP 2 Gross</t>
  </si>
  <si>
    <t>PP 2 Net</t>
  </si>
  <si>
    <t>Private Pension 3</t>
  </si>
  <si>
    <t>PP 3 Gross</t>
  </si>
  <si>
    <t>PP 4 Net</t>
  </si>
  <si>
    <t>Benefits/Maintenance (Monthly)</t>
  </si>
  <si>
    <t>Item 1</t>
  </si>
  <si>
    <t>Item 2</t>
  </si>
  <si>
    <t>Total Annual Gross Pay - Applicant 1</t>
  </si>
  <si>
    <t>Total Annual Gross Pay - Applicant 2</t>
  </si>
  <si>
    <t>Total Annual Net Pay - Applicant 1</t>
  </si>
  <si>
    <t>Total Annual Net Pay - Applicant 2</t>
  </si>
  <si>
    <t>Year to data pay calculation</t>
  </si>
  <si>
    <t>Year to Date Pay</t>
  </si>
  <si>
    <t>Period</t>
  </si>
  <si>
    <t>Average Pay</t>
  </si>
  <si>
    <t>Total Annual Gross Pay - Applicant 3</t>
  </si>
  <si>
    <t>Total Annual Gross Pay - Applicant 4</t>
  </si>
  <si>
    <t>Total Annual Net Pay - Applicant 3</t>
  </si>
  <si>
    <t>Total Annual Net Pay - Applicant 4</t>
  </si>
  <si>
    <t>Credit Commitments</t>
  </si>
  <si>
    <t>App No</t>
  </si>
  <si>
    <t>Company</t>
  </si>
  <si>
    <t>Credit Type</t>
  </si>
  <si>
    <t>Balance</t>
  </si>
  <si>
    <t>Payment</t>
  </si>
  <si>
    <t>To Be Used</t>
  </si>
  <si>
    <t>Include</t>
  </si>
  <si>
    <t>Justification</t>
  </si>
  <si>
    <t>Total to be included</t>
  </si>
  <si>
    <t>App 1</t>
  </si>
  <si>
    <t xml:space="preserve">App 2 </t>
  </si>
  <si>
    <t>App 3</t>
  </si>
  <si>
    <t>App 4</t>
  </si>
  <si>
    <t>Unsecured Loan</t>
  </si>
  <si>
    <t>Total</t>
  </si>
  <si>
    <t>Hire Purchase</t>
  </si>
  <si>
    <t>Credit Card</t>
  </si>
  <si>
    <t>Catalogue</t>
  </si>
  <si>
    <t>Short Term Credit</t>
  </si>
  <si>
    <t>ICR Contingency</t>
  </si>
  <si>
    <t>Yes</t>
  </si>
  <si>
    <t>No</t>
  </si>
  <si>
    <t>Stressed Mortgage Payment Calculator</t>
  </si>
  <si>
    <t>Mortgage Amount £</t>
  </si>
  <si>
    <t>Remaining Term (years)</t>
  </si>
  <si>
    <t>Monthly Repayment Factor</t>
  </si>
  <si>
    <t>Stressed Payment</t>
  </si>
  <si>
    <r>
      <t xml:space="preserve">Expenditure
</t>
    </r>
    <r>
      <rPr>
        <b/>
        <sz val="10"/>
        <color theme="1" tint="0.249977111117893"/>
        <rFont val="Calibri"/>
        <family val="2"/>
        <scheme val="minor"/>
      </rPr>
      <t>Figures input into 'Underwriter confirmed'  column used against ONS</t>
    </r>
  </si>
  <si>
    <t>Adviser Input (Level 1 - 2)</t>
  </si>
  <si>
    <t>Bank Statement Verified (Level 3 - 4)</t>
  </si>
  <si>
    <t>Items</t>
  </si>
  <si>
    <t>Application input</t>
  </si>
  <si>
    <t>Month 1</t>
  </si>
  <si>
    <t>Month 2</t>
  </si>
  <si>
    <t>Month 3</t>
  </si>
  <si>
    <t>Underwriter Confirmed</t>
  </si>
  <si>
    <t>Final Value</t>
  </si>
  <si>
    <t>Value Used</t>
  </si>
  <si>
    <t>Other - Stated in rationale</t>
  </si>
  <si>
    <t>Ground Rent/Service Charge</t>
  </si>
  <si>
    <t>Utility Total</t>
  </si>
  <si>
    <t>Food/Groceries</t>
  </si>
  <si>
    <t>Essential Travel</t>
  </si>
  <si>
    <t>Essential Insurance</t>
  </si>
  <si>
    <t>Telephone/ TV/ Satellite</t>
  </si>
  <si>
    <t>Childcare</t>
  </si>
  <si>
    <t>Clothing/Footwear</t>
  </si>
  <si>
    <t>Other Items (non-specific)</t>
  </si>
  <si>
    <t>Total Other</t>
  </si>
  <si>
    <t>BTL in Background</t>
  </si>
  <si>
    <t>Total Mortgage Debt £</t>
  </si>
  <si>
    <t>Stressed interest rate</t>
  </si>
  <si>
    <t>Total Annual Rental Income</t>
  </si>
  <si>
    <t>Stressed Mortgage payment (D)</t>
  </si>
  <si>
    <t>Surplus (shortfall) C-D</t>
  </si>
  <si>
    <t>ICR</t>
  </si>
  <si>
    <t>Notes</t>
  </si>
  <si>
    <t>VBS criteria set in model</t>
  </si>
  <si>
    <t>list</t>
  </si>
  <si>
    <t>Minimum excess income required</t>
  </si>
  <si>
    <t>Rate payable based on SVR</t>
  </si>
  <si>
    <t>Amount stressed (additional margin applied)</t>
  </si>
  <si>
    <t xml:space="preserve">Non Standard income % used </t>
  </si>
  <si>
    <t xml:space="preserve">Income Multiple cap for max loan amount -  standard </t>
  </si>
  <si>
    <t>Income Multiple cap for max loan amount -  upper limit</t>
  </si>
  <si>
    <t>Affordability Breakdown (1 - Main)</t>
  </si>
  <si>
    <t>Max Loan Calculation</t>
  </si>
  <si>
    <t>Broker Affordability (Broker)</t>
  </si>
  <si>
    <t>ONS Figures Used</t>
  </si>
  <si>
    <t>Minimum loan amount</t>
  </si>
  <si>
    <t>Passwords</t>
  </si>
  <si>
    <t>Loan Amount</t>
  </si>
  <si>
    <t>Max Capital &amp; Interest loan -Highest of Own and ONS</t>
  </si>
  <si>
    <t>Tabs 1 - 5</t>
  </si>
  <si>
    <t>Vern0n</t>
  </si>
  <si>
    <t>Property Value</t>
  </si>
  <si>
    <t>90% of Max Capital &amp; Interest loan / 85% Five Year Product</t>
  </si>
  <si>
    <t>Mort repay</t>
  </si>
  <si>
    <t>repay</t>
  </si>
  <si>
    <t>Term</t>
  </si>
  <si>
    <t>95% of Max Capital &amp; Interest loan - higher of own and ONS</t>
  </si>
  <si>
    <t>Essential Travel Costs (exclude car insurance)</t>
  </si>
  <si>
    <t xml:space="preserve">dropdown </t>
  </si>
  <si>
    <t>DD</t>
  </si>
  <si>
    <t>Max 'capped' loan standard 4.5x</t>
  </si>
  <si>
    <t>Essential Insurances (include car insurance if applicable)</t>
  </si>
  <si>
    <t>version control</t>
  </si>
  <si>
    <t>control</t>
  </si>
  <si>
    <t>Repayment Method</t>
  </si>
  <si>
    <t>Max 'capped' loan upper limit</t>
  </si>
  <si>
    <t>UW Detail input (calc)</t>
  </si>
  <si>
    <t>uwinput</t>
  </si>
  <si>
    <t>Applicants</t>
  </si>
  <si>
    <t>Monthly Repayment Capital Repayment</t>
  </si>
  <si>
    <t>input calculation  assist</t>
  </si>
  <si>
    <t>assist</t>
  </si>
  <si>
    <t>Number of Adults</t>
  </si>
  <si>
    <t>C&amp;I Lower of max affordable loan or standard LTI</t>
  </si>
  <si>
    <t>VBS Criteria</t>
  </si>
  <si>
    <t>criteria</t>
  </si>
  <si>
    <t>Number of Dependent Children</t>
  </si>
  <si>
    <t>C&amp;I Lower of 90% of affordable loan or upper LTI</t>
  </si>
  <si>
    <t>Adult + Children Score</t>
  </si>
  <si>
    <t>C&amp;I Max loan offered</t>
  </si>
  <si>
    <t>ONS table A23</t>
  </si>
  <si>
    <t>A23</t>
  </si>
  <si>
    <t>Gross Income</t>
  </si>
  <si>
    <t>ONS breakdown A1</t>
  </si>
  <si>
    <t>A1</t>
  </si>
  <si>
    <t>Total Net Monthly Income</t>
  </si>
  <si>
    <t>Interest-Only Max Calculation</t>
  </si>
  <si>
    <t>Max interest only loan -Highest of own and ONS</t>
  </si>
  <si>
    <t>Usable Net Income</t>
  </si>
  <si>
    <t>90% of Max Capital &amp; Interest loan - higher of own and ONS</t>
  </si>
  <si>
    <t xml:space="preserve">90% of Max int only loan / 85% </t>
  </si>
  <si>
    <t>95% of Max int only loan - higher of own and ONS</t>
  </si>
  <si>
    <t>Income Multiple</t>
  </si>
  <si>
    <t>Monthly Interest-only payment</t>
  </si>
  <si>
    <t>Declared Expenditure</t>
  </si>
  <si>
    <t>1 - Main</t>
  </si>
  <si>
    <t>I/O Lower of max affordable loan or standard LTI</t>
  </si>
  <si>
    <t>Amount Available for Mortgage Payment</t>
  </si>
  <si>
    <t>I/O Max loan offered</t>
  </si>
  <si>
    <t>Rounded Product Rate</t>
  </si>
  <si>
    <t>Affordability Basis</t>
  </si>
  <si>
    <t>Part &amp; Part Max Loan Calculation</t>
  </si>
  <si>
    <t>Five Year Fixed?</t>
  </si>
  <si>
    <t>5 Year Product?</t>
  </si>
  <si>
    <t>Capital Repayment Amount</t>
  </si>
  <si>
    <t>Interest-Only Amount</t>
  </si>
  <si>
    <t>90% of Max int only loan - higher of own and ONS</t>
  </si>
  <si>
    <t>Stressed Int rate</t>
  </si>
  <si>
    <t>Total Loan Amount</t>
  </si>
  <si>
    <t>Discounted Rate</t>
  </si>
  <si>
    <t>Interest-only Element Payment</t>
  </si>
  <si>
    <t>Monthly repay factor (stress)</t>
  </si>
  <si>
    <t>Cap - 5 Year Discount</t>
  </si>
  <si>
    <t>Capital * Interest Repayment</t>
  </si>
  <si>
    <t>Product Rate + 1%</t>
  </si>
  <si>
    <t>Product repay factor</t>
  </si>
  <si>
    <t>Total Part &amp; Part Payment</t>
  </si>
  <si>
    <t>Documentary Evidence Calculation</t>
  </si>
  <si>
    <t>Discount Stressed Rate</t>
  </si>
  <si>
    <t>Amount Available for P&amp;P Element</t>
  </si>
  <si>
    <t>Max Part &amp; Part loan -Highest of Own and ONS</t>
  </si>
  <si>
    <t>Floor - 5 Year Fixed</t>
  </si>
  <si>
    <t>90% of Max P&amp;P loan - higher of own and ONS</t>
  </si>
  <si>
    <t>LTV &amp; affordability score</t>
  </si>
  <si>
    <t>Fixed Rate</t>
  </si>
  <si>
    <t>Fixed Stressed Rate</t>
  </si>
  <si>
    <t>P&amp;P Lower of max affordable loan or standard LTI</t>
  </si>
  <si>
    <t>Surplus Income on C&amp;I</t>
  </si>
  <si>
    <t>Stressed Rate to be used</t>
  </si>
  <si>
    <t>P&amp;P Lower of 90% of affordable loan or upper LTI</t>
  </si>
  <si>
    <t>Surplus Income on I/O</t>
  </si>
  <si>
    <t>PEL Calculation</t>
  </si>
  <si>
    <t>P&amp;P Max loan offered</t>
  </si>
  <si>
    <t>Surplus Income on P&amp;P</t>
  </si>
  <si>
    <t>Credit Score 1</t>
  </si>
  <si>
    <t xml:space="preserve">Credit Score 2 </t>
  </si>
  <si>
    <t>Product Rate Payments</t>
  </si>
  <si>
    <t>Requested Loan as % of Max Loan (C&amp;I)</t>
  </si>
  <si>
    <t>Credit Score 3</t>
  </si>
  <si>
    <t>Requested Loan as % of Max Loan (I/O)</t>
  </si>
  <si>
    <t>Credit Score 4</t>
  </si>
  <si>
    <t>Requested Loan as % of Max Loan (P&amp;P)</t>
  </si>
  <si>
    <t>Average Credit Score</t>
  </si>
  <si>
    <t>Score PD</t>
  </si>
  <si>
    <t>Scalar PD</t>
  </si>
  <si>
    <t>5% Buffer Cap</t>
  </si>
  <si>
    <t>Floored PD</t>
  </si>
  <si>
    <t>Valuation</t>
  </si>
  <si>
    <t>Forced Sale Valuation</t>
  </si>
  <si>
    <t>Sales Costs</t>
  </si>
  <si>
    <t>Advance plus costs</t>
  </si>
  <si>
    <t>Expected Loss (£)</t>
  </si>
  <si>
    <t>Downturn Expected Loss (%)</t>
  </si>
  <si>
    <t>WA EL(%)</t>
  </si>
  <si>
    <t>LTV Band</t>
  </si>
  <si>
    <t>PEL&gt;Trigger</t>
  </si>
  <si>
    <r>
      <t xml:space="preserve">Once completed save a copy of the Affordability calculator in the following folder </t>
    </r>
    <r>
      <rPr>
        <b/>
        <sz val="11"/>
        <color rgb="FFFF0000"/>
        <rFont val="Century Gothic"/>
        <family val="2"/>
      </rPr>
      <t>Hotel/UserData/Mortgage Affordability Calculators</t>
    </r>
    <r>
      <rPr>
        <sz val="11"/>
        <color theme="1"/>
        <rFont val="Century Gothic"/>
        <family val="2"/>
      </rPr>
      <t xml:space="preserve"> with the name being the application number followed by the 1st applicants surname and the second applicants surname e.g. 1234 Surname1Surname 2  - save down 1 version in excel along with the output in PDF</t>
    </r>
  </si>
  <si>
    <t>Select the repayment type (initial Assessment for Standard mortgages should be on Captial &amp; Interest irrespective of repayment type) Where this fails I/O can be used where requested as a repayment type. Note Capital &amp; interest max LTV 95%, Interest Only 60%</t>
  </si>
  <si>
    <t>Gross Basic Income</t>
  </si>
  <si>
    <r>
      <rPr>
        <b/>
        <sz val="11"/>
        <rFont val="Century Gothic"/>
        <family val="2"/>
      </rPr>
      <t>For each applicant:
Employed / Retired</t>
    </r>
    <r>
      <rPr>
        <sz val="11"/>
        <rFont val="Century Gothic"/>
        <family val="2"/>
      </rPr>
      <t xml:space="preserve"> - Input the annual Gross basic  income/  prior to any deductions e.g. Tax, NI, Loans, Pension contributions. 
</t>
    </r>
    <r>
      <rPr>
        <b/>
        <sz val="11"/>
        <rFont val="Century Gothic"/>
        <family val="2"/>
      </rPr>
      <t>Self Employed (ST/ P'Ship)</t>
    </r>
    <r>
      <rPr>
        <sz val="11"/>
        <rFont val="Century Gothic"/>
        <family val="2"/>
      </rPr>
      <t xml:space="preserve">-  lower of:
• Most recent years share of net profit;
• Average share of net profit of the last 2 years.
</t>
    </r>
    <r>
      <rPr>
        <b/>
        <sz val="11"/>
        <rFont val="Century Gothic"/>
        <family val="2"/>
      </rPr>
      <t xml:space="preserve">Self Employed (Ltd. Co.) </t>
    </r>
    <r>
      <rPr>
        <sz val="11"/>
        <rFont val="Century Gothic"/>
        <family val="2"/>
      </rPr>
      <t xml:space="preserve">- the lower of:
• Most recent years director’s remuneration plus gross dividends;
• Average of the last 2 years director’s remuneration plus gross dividends.
</t>
    </r>
    <r>
      <rPr>
        <b/>
        <sz val="11"/>
        <rFont val="Century Gothic"/>
        <family val="2"/>
      </rPr>
      <t>Note – Self Employed Income will not be deemed usable whereby the latest year has seen a drop of more than 25% net profit.</t>
    </r>
  </si>
  <si>
    <t>Gross Additional Income</t>
  </si>
  <si>
    <t>Input the total annual Amount of additional income such as regular bonus, overtime, allowances etc. prior to any deductions . Where using the average of the last 3 months pay slips note this must be in line with YTD / P60. (The calculator will default to include 50%).</t>
  </si>
  <si>
    <t>Gross Other Income</t>
  </si>
  <si>
    <t>Input the annual Amount of other income on top of earned / pension income such as allowable benefits/ savings / investment /unencumbered property rental income. (The calculator will default to include 50%).</t>
  </si>
  <si>
    <t>Net monthly income (monthly take home pay/pension):</t>
  </si>
  <si>
    <r>
      <rPr>
        <b/>
        <sz val="11"/>
        <rFont val="Century Gothic"/>
        <family val="2"/>
      </rPr>
      <t xml:space="preserve">Employed - Retired </t>
    </r>
    <r>
      <rPr>
        <sz val="11"/>
        <rFont val="Century Gothic"/>
        <family val="2"/>
      </rPr>
      <t xml:space="preserve">- Insert the Net monthly income, where additional income fluctuates insert the average monthly net income.
</t>
    </r>
    <r>
      <rPr>
        <b/>
        <sz val="11"/>
        <rFont val="Century Gothic"/>
        <family val="2"/>
      </rPr>
      <t xml:space="preserve">Self Employed </t>
    </r>
    <r>
      <rPr>
        <sz val="11"/>
        <rFont val="Century Gothic"/>
        <family val="2"/>
      </rPr>
      <t>- The net income consistent with the tax returns should be used subject to Accounts confirming that drawings are &lt; profit. Underwriter discretion may be applied where profits are not drawn in full this can be estimated by using the evidenced profit in the following calculator                                             www.employedandselfemployed.co.uk/setaxcalculator Refer cases to Underwriter.</t>
    </r>
  </si>
  <si>
    <t>Other income (e.g. Savings / Investments income)</t>
  </si>
  <si>
    <t>Any other form of secondary income - Include any allowable benefits in here.</t>
  </si>
  <si>
    <t xml:space="preserve">Reg O/T Bous / Other Income - Should you agree to use a higher than the standard % of Additional income then the £value of the amount agreed to be used is inserted in the override - Must be agreed with U/W prior to use </t>
  </si>
  <si>
    <t>HP / Loan repayments</t>
  </si>
  <si>
    <t>Input the total amount of loan repayments that a borrower has, note where the borrower is due to repay the loan within 3 months from completion this does not need to be included here but must be referenced in the notes and where this relates to a car for instance details of any final payments and or the borrower intensions re renewing ,must be captured in the notes also. Note - the exclusion of these payments from the calculation will be subject to underwriter assessment</t>
  </si>
  <si>
    <t>Credit card Balances (total of all held)</t>
  </si>
  <si>
    <t>Input the total balances of credit cards held - including the average balance of a card where borrower pays in full.</t>
  </si>
  <si>
    <t>Credit card repayments (total)</t>
  </si>
  <si>
    <t>Input the amounts of the repayments borrower makes but exclude the full balance payment from this amount, although reference must be made in the notes including  the average balance that the borrower repays.</t>
  </si>
  <si>
    <t>Family maintenance</t>
  </si>
  <si>
    <t>Input any maintenance payments commitments - where this is due to finish in the next 3 months this can be excluded from the figures but must be referenced in the notes .</t>
  </si>
  <si>
    <t xml:space="preserve">Other  unsecured commitments </t>
  </si>
  <si>
    <t>Input the monthly cost of any other lending not captured above e.g. regular Overdraft charges / fees, Pay Day loans. Basic Pension contributions may be included here where not paid through a salary
Note - Where the borrower has an Interest Only facility which is being assessed on Interest only rather than repayment repayment vehicle costs must be included here.</t>
  </si>
  <si>
    <t xml:space="preserve"> *Other non self financing mortgages/rent</t>
  </si>
  <si>
    <t>Mortgage Payments - I.e. Mortgage on second property or holiday home, where joint applicants but sole owner and the joint borrower is party to another mortgage (i.e. their own property) this must be included in here etc. note if the borrower holds a BTL held pays for itself (i.e. rent covers mortgage commitment) then this does not need to be included in the calculations - Proof of this not required for levels 1 -3.
This repayment amount must be stressed at the same rate as the prescribed Stress rate- refer to Input Calculation assist tab for the calculation of this.
Rent - Where the borrower pays rent for a property as well as also (for example in Self build cases whilst the build is being completed) this must be included here.</t>
  </si>
  <si>
    <t>Essential expenditure &amp; basic standard of living costs :</t>
  </si>
  <si>
    <t>Note - When assessing a case where there is a joint borrower added on where they will not reside in the property then Applicant1 should be the main person who will reside in the property to be mortgaged, it is important to include full income / expenditure details, inclusing household expenditure for the joint borrower who will not reside in the property- including stressed mortgage payment where they have one. Refer cases of this nature to Underwriter for guidance.
Utilise the notes field to explain the borrower circumstances and discussions that you have had with regards to Expenditure. If affordability is tight but a borrower has given an explanation of how they intend to adjust their expenditure and what they can reduce further then capture this in the notes field in order to provide the underwriter with a full picture of the borrower expectations.</t>
  </si>
  <si>
    <t>If the figure seems to be within expected ranges (and affordability and LTV &lt;90%) no need to challenge - can be validated using online facility to check property using postcode, once confirmed the annual council tax can be divided by the number of months over which the tax is to be paid. Note -  Some areas charge council tax over a 10 month rather than 12 month period - apply the calculation that is applicable to the borrower - where this is unknown then a proxy can be calculated by dividing 12.</t>
  </si>
  <si>
    <t xml:space="preserve">ONS data not used for this category as it does not apply to all cases. for leasehold properties there is an expectation that this will apply - If the property is an apartment /  flat then the expectation is that there will be a ground rent / service charge, for houses where this applies there is a tendency for this to be lower and service charges may not apply. </t>
  </si>
  <si>
    <t>* Home Fuel &amp; Utility Bills</t>
  </si>
  <si>
    <t>This is to include, Gas, electricity, Water, any other Fuel Bills that the borrower pays -e.g. Oil, Wood, Coal</t>
  </si>
  <si>
    <t>*Food, groceries, toiletries and cleaning products</t>
  </si>
  <si>
    <r>
      <t xml:space="preserve">borrower to calculate their average monthly spend - this is then assessed against ONS and the higher of the borrower stated/ ONS value is used </t>
    </r>
    <r>
      <rPr>
        <sz val="11"/>
        <color theme="0"/>
        <rFont val="Century Gothic"/>
        <family val="2"/>
      </rPr>
      <t>(ONS uses 100% of category 1 - Food, 15% of category 5 - Cleaning Products and 31% of the 40% in category 12 which is for toiletries)</t>
    </r>
  </si>
  <si>
    <t>*Essential Travel Costs</t>
  </si>
  <si>
    <t>This is to include any Essential transport - i.e. Commute costs incl season tickets and dependants school college commute costs, car running and maintenance costs  to include petrol, servicing, MOT, Tax etc. but excludes Vehicle insurance (this is to be included in the insurance section)</t>
  </si>
  <si>
    <t xml:space="preserve">*Essential Insurances </t>
  </si>
  <si>
    <t>As a minimum this must include Buildings and contents - plus any other insurances that a borrower would consider to be essential - i.e. vehicle insurance where borrower owns a vehicle. ONS includes vehicle insurance!!! Other insurances such as life insurance /  pet insurance would only be included if a borrower deems these to be essential.</t>
  </si>
  <si>
    <t>*Telephones / Internet / TV and Satellite costs</t>
  </si>
  <si>
    <r>
      <t xml:space="preserve">To include landlines, mobiles, internet packages along with TV / Satellite packages - this figure has been combined as these are often combined packages that are not easy to separate out
</t>
    </r>
    <r>
      <rPr>
        <sz val="11"/>
        <color theme="0"/>
        <rFont val="Century Gothic"/>
        <family val="2"/>
      </rPr>
      <t>(To calculate from ONS this uses 95% of category 8 plus 10% of category 9)</t>
    </r>
  </si>
  <si>
    <t>Childcare (include School Fees if applicable)</t>
  </si>
  <si>
    <t>As these are unique to individual circumstances - Insert comment/ rationale if borrower has primary school age children, or younger and no childcare costs in here</t>
  </si>
  <si>
    <t>*Clothing and Footwear</t>
  </si>
  <si>
    <t>Self Explanatory</t>
  </si>
  <si>
    <t>Minimum surplus income required (5%)</t>
  </si>
  <si>
    <t>This does not require any inputs and cannot be overridden it covers the basic recreational costs, plus costs that don’t fit into other categories such as health, education, house hold goods, plus a small % of Alcohol/ narcotics, its simply to ensure that everything is considered - even the costs that you don't immediately think about.</t>
  </si>
  <si>
    <t>Overrides</t>
  </si>
  <si>
    <t>Refer the use of any override to an Underwriter - Overrides can be entered on permitted categories subject to core criteria being met and proofs obtained where applicable</t>
  </si>
  <si>
    <t>1 month* 
(or 1 months worth where pay frequency is less than monthly) 
If payslip is less than period 4 or bonus/overtime is being used then please provide latest P60</t>
  </si>
  <si>
    <t>Latest 2 years Tax calculation summaries supported by the 
Latest 2 years HMRC Tax year overviews
Latest years accounts</t>
  </si>
  <si>
    <t>2 months* 
(or 2months worth where pay frequency is less than monthly) 
If payslip is less than period 4 or bonus/overtime is being used then please provide latest P60</t>
  </si>
  <si>
    <t>3 months* 
(or 3 months worth where pay frequency is less than monthly) 
If payslip is less than period 4 or bonus/overtime is being used then please provide latest P60</t>
  </si>
  <si>
    <t>1 months personal main bank statements for all applicants including joint accounts</t>
  </si>
  <si>
    <t>4 months* 
(or 3  months worth where pay frequency is less than monthly) 
If payslip is less than period 4 or bonus/overtime is being used then please provide latest P60</t>
  </si>
  <si>
    <t>Latest 2 years Tax calculation summaries
HMRC Tax year overviews and 
Latest years accounts
3 months business bank statements</t>
  </si>
  <si>
    <t>3 months personal main bank statements for all applicants including joint accounts</t>
  </si>
  <si>
    <t>Single:</t>
  </si>
  <si>
    <t>Joint:</t>
  </si>
  <si>
    <t>Monthly</t>
  </si>
  <si>
    <r>
      <rPr>
        <b/>
        <u/>
        <sz val="11"/>
        <rFont val="Calibri"/>
        <family val="2"/>
        <scheme val="minor"/>
      </rPr>
      <t xml:space="preserve">Instructions for updating ONS </t>
    </r>
    <r>
      <rPr>
        <b/>
        <sz val="11"/>
        <color theme="1"/>
        <rFont val="Calibri"/>
        <family val="2"/>
        <scheme val="minor"/>
      </rPr>
      <t xml:space="preserve">- </t>
    </r>
    <r>
      <rPr>
        <b/>
        <sz val="11"/>
        <color rgb="FFFF0000"/>
        <rFont val="Calibri"/>
        <family val="2"/>
        <scheme val="minor"/>
      </rPr>
      <t>Note the fields requiring update on this tab are in yellow</t>
    </r>
    <r>
      <rPr>
        <b/>
        <sz val="11"/>
        <color theme="1"/>
        <rFont val="Calibri"/>
        <family val="2"/>
        <scheme val="minor"/>
      </rPr>
      <t xml:space="preserve">
1 - Create new tab for A23 data table (label this Extract-ONS A23 xxxxye) and copy over latest data from website www.ons.gov.uk
2 - Copy the monthly totals in line 46 down into line 66 as these are about to become the previous totals ( and the differenceds between the 2 are calculated once populated with the latest figures which allow you to sense check the data)
3 - Copy and paste the data from A23 table into the yellow table (A23-I46) taking care to ensure that the data is always in thesame fields - note it may be easier to remove the values from A29-I46 of the table and copy a blank table over to the newly created Extract tab to fill it in before copying back over to this tab.
4 - Check the movements / differences - you would expect these to be reasonably minimal - double check any large differences. 
5 - The assumptions made in the table below should be checked against the latest version of the A1 breakdown </t>
    </r>
  </si>
  <si>
    <t>Code for Lookup where adult =1 and child =10</t>
  </si>
  <si>
    <t>Food &amp; non-alcoholic drinks</t>
  </si>
  <si>
    <t>Alcoholic drinks, tobacco &amp; narcotics</t>
  </si>
  <si>
    <t>Clothing &amp; footwear</t>
  </si>
  <si>
    <r>
      <t>Housing(net)</t>
    </r>
    <r>
      <rPr>
        <vertAlign val="superscript"/>
        <sz val="9"/>
        <rFont val="Arial"/>
        <family val="2"/>
      </rPr>
      <t>2</t>
    </r>
    <r>
      <rPr>
        <sz val="9"/>
        <rFont val="Arial"/>
        <family val="2"/>
      </rPr>
      <t>, fuel &amp; power</t>
    </r>
  </si>
  <si>
    <t>Household goods &amp; services</t>
  </si>
  <si>
    <t>Health</t>
  </si>
  <si>
    <t>Transport</t>
  </si>
  <si>
    <t>Communication</t>
  </si>
  <si>
    <t>Recreation &amp; culture</t>
  </si>
  <si>
    <t>Education</t>
  </si>
  <si>
    <t>*Travel Costs</t>
  </si>
  <si>
    <t>Restaurants &amp; hotels</t>
  </si>
  <si>
    <t>Miscellaneous goods &amp; services</t>
  </si>
  <si>
    <t>Childcare (should we include School Fees in here also)</t>
  </si>
  <si>
    <t>Updates from A23 table input into yellow cells</t>
  </si>
  <si>
    <t>ONS DATA</t>
  </si>
  <si>
    <t>Total expenditure</t>
  </si>
  <si>
    <t>One</t>
  </si>
  <si>
    <t>Two</t>
  </si>
  <si>
    <t>One adult</t>
  </si>
  <si>
    <t>Two adults</t>
  </si>
  <si>
    <t>https://www.ons.gov.uk/peoplepopulationandcommunity/personalandhouseholdfinances/expenditure/datasets/familyspendingworkbook2expenditurebyincome</t>
  </si>
  <si>
    <t>person</t>
  </si>
  <si>
    <t>adults</t>
  </si>
  <si>
    <t>with</t>
  </si>
  <si>
    <t>Net income</t>
  </si>
  <si>
    <t xml:space="preserve"> </t>
  </si>
  <si>
    <t>one</t>
  </si>
  <si>
    <t>two</t>
  </si>
  <si>
    <t>three</t>
  </si>
  <si>
    <t>Table A23</t>
  </si>
  <si>
    <t>child</t>
  </si>
  <si>
    <t>or more</t>
  </si>
  <si>
    <t>children</t>
  </si>
  <si>
    <t>This table is populated from the assumptions made on the ONS expenditure breakdown tab</t>
  </si>
  <si>
    <t>Proposed % to use as minimum</t>
  </si>
  <si>
    <t>Essential, Basic Standard of Living or  Excluded</t>
  </si>
  <si>
    <t>Examples of whats included in the % being used</t>
  </si>
  <si>
    <t>Examples of whats excluded</t>
  </si>
  <si>
    <t xml:space="preserve">Associated Category on the Affordability calculator </t>
  </si>
  <si>
    <t>notes</t>
  </si>
  <si>
    <t>Food and non-alcoholic drinks</t>
  </si>
  <si>
    <t>Full amount for Food &amp; non-alcoholic drinks included</t>
  </si>
  <si>
    <t>Alcoholic drink, tobacco and narcotics</t>
  </si>
  <si>
    <t>Clothing and footwear</t>
  </si>
  <si>
    <t>50% in case of financial hardship expectation to reduce spend</t>
  </si>
  <si>
    <t>Housing(net)2, fuel &amp; power</t>
  </si>
  <si>
    <t>Housing(net), fuel and power</t>
  </si>
  <si>
    <t>Fuel / Power and utilities</t>
  </si>
  <si>
    <t>rent payment - if purchasing property unlikely to be paying rent also some non essential maintenance and alternative fuels which are considered to be an alternative to gas and electricity not in addition to</t>
  </si>
  <si>
    <t xml:space="preserve">Household goods and services </t>
  </si>
  <si>
    <t xml:space="preserve">Cleaning materials / Detergents etc. plus Household appliances/Furniture </t>
  </si>
  <si>
    <t>Electrical/ Garden tools, Tablewear, Utensils, 50% of furniture costs, decorative goods, Floor Coverings, Textiles</t>
  </si>
  <si>
    <t>Medicines, prescriptions, opticians etc</t>
  </si>
  <si>
    <t>Private Dental / Medical costs</t>
  </si>
  <si>
    <t>Vehicle running costs  &amp; other travel costs (incl. season tickets etc)</t>
  </si>
  <si>
    <t>35% for non essential travel and some duplication ie car running costs plus public transport costs and both may not apply.</t>
  </si>
  <si>
    <t>landlines, mobiles and internet</t>
  </si>
  <si>
    <t>Purchasing of New Phones / Mobiles / Faxes</t>
  </si>
  <si>
    <t>Recreation and culture</t>
  </si>
  <si>
    <t>TV, Satelite</t>
  </si>
  <si>
    <t>65% of the costs in this category is excluded - in cases of Financial Hardship it would be expected that recreational experiances could be reduced considerably eg Holidays abroad</t>
  </si>
  <si>
    <t>school costs, trips etc</t>
  </si>
  <si>
    <t xml:space="preserve">Private school fees, nursery etc picked up by Underwriters. School trips classed as discretionary spending. </t>
  </si>
  <si>
    <t>Restaurants and hotels</t>
  </si>
  <si>
    <t xml:space="preserve">Snacks and confectionery, school meals or meals bought and eaten at the office and  50% of takeaway spend </t>
  </si>
  <si>
    <t xml:space="preserve">Holidays, Restaurant / Café meals and 50% of takeaway spend </t>
  </si>
  <si>
    <t>Miscellaneous goods and services</t>
  </si>
  <si>
    <t>Insurances (B&amp;C), (Vehicle),  Personal Care -Toiletries</t>
  </si>
  <si>
    <t>Costs associated with moving house- furniture storage and removal as these would be one offs, bank charges and annual credit card fees , personal effects - watches/ Jewelry etc</t>
  </si>
  <si>
    <t>Other expenditure items</t>
  </si>
  <si>
    <t>none - All considered non-essential</t>
  </si>
  <si>
    <t>Mortgage payments as no need to include, fines, holiday spends, gifts and donations are considered to be non essential</t>
  </si>
  <si>
    <t xml:space="preserve">n/a </t>
  </si>
  <si>
    <t>1-12</t>
  </si>
  <si>
    <t>All expenditure groups</t>
  </si>
  <si>
    <t>Other items recorded</t>
  </si>
  <si>
    <t>Excluded</t>
  </si>
  <si>
    <t xml:space="preserve">none </t>
  </si>
  <si>
    <t>Items of expenditure covered by using monthly income - i.e Tax, Ni and pension costs</t>
  </si>
  <si>
    <t>Essential expenditure used</t>
  </si>
  <si>
    <t>Back to Contents</t>
  </si>
  <si>
    <t>High level expenditure by household composition</t>
  </si>
  <si>
    <t>UK, financial year ending 2023</t>
  </si>
  <si>
    <t>Retired households</t>
  </si>
  <si>
    <t>Non-retired</t>
  </si>
  <si>
    <t>Retired and non-retired households</t>
  </si>
  <si>
    <r>
      <t>State pension</t>
    </r>
    <r>
      <rPr>
        <b/>
        <vertAlign val="superscript"/>
        <sz val="8"/>
        <rFont val="Arial"/>
        <family val="2"/>
      </rPr>
      <t>1</t>
    </r>
  </si>
  <si>
    <t>Other retired</t>
  </si>
  <si>
    <t>Three or more adults</t>
  </si>
  <si>
    <t xml:space="preserve">Two </t>
  </si>
  <si>
    <t>without</t>
  </si>
  <si>
    <t>Weighted number of households (thousands)</t>
  </si>
  <si>
    <t>Total number of households in sample</t>
  </si>
  <si>
    <t>Total number of persons in sample</t>
  </si>
  <si>
    <t>Total number of adults in sample</t>
  </si>
  <si>
    <t>Weighted average number of persons per household</t>
  </si>
  <si>
    <t>Commodity or service</t>
  </si>
  <si>
    <t>Average weekly household expenditure (£)</t>
  </si>
  <si>
    <t>Housing (net)², fuel &amp; power</t>
  </si>
  <si>
    <t>..</t>
  </si>
  <si>
    <t>Average weekly expenditure per person (£)</t>
  </si>
  <si>
    <t>Note: The commodity and service categories are not comparable to those in publications before 2001-02.</t>
  </si>
  <si>
    <t>Please see background notes for symbols and conventions used in this report.</t>
  </si>
  <si>
    <t>1 Mainly dependent on state pensions and not economically active - see Methodology - Economically Inactive.</t>
  </si>
  <si>
    <t>2 Excluding mortgage interest payments, council tax and Northern Ireland rates Mortgage interest payments can be found in category 13.</t>
  </si>
  <si>
    <t>Source: Office for National Statistics</t>
  </si>
  <si>
    <t>Expenditure by household composition</t>
  </si>
  <si>
    <t>UK, financial year ending 2020</t>
  </si>
  <si>
    <t>2020 (A23 ONS Data)</t>
  </si>
  <si>
    <t>Derived Data</t>
  </si>
  <si>
    <t>1</t>
  </si>
  <si>
    <t>2</t>
  </si>
  <si>
    <t>Alcoholic drinks, tobacco and narcotics</t>
  </si>
  <si>
    <t>3</t>
  </si>
  <si>
    <t>4</t>
  </si>
  <si>
    <t>Housing(net)2, fuel and power</t>
  </si>
  <si>
    <t>5</t>
  </si>
  <si>
    <t>Household goods and services</t>
  </si>
  <si>
    <t>6</t>
  </si>
  <si>
    <t>7</t>
  </si>
  <si>
    <t>8</t>
  </si>
  <si>
    <t>9</t>
  </si>
  <si>
    <t>10</t>
  </si>
  <si>
    <t>11</t>
  </si>
  <si>
    <t>12</t>
  </si>
  <si>
    <t>13</t>
  </si>
  <si>
    <t>:</t>
  </si>
  <si>
    <t>[1.40]</t>
  </si>
  <si>
    <t>[10.70]</t>
  </si>
  <si>
    <t>[4.20]</t>
  </si>
  <si>
    <t>1 Mainly dependent on state pensions and not economically active.</t>
  </si>
  <si>
    <t>2 Excluding mortgage interest payments, council tax and Northern Ireland rates.</t>
  </si>
  <si>
    <t>UK, financial year ending 2016</t>
  </si>
  <si>
    <r>
      <t>Housing(net)</t>
    </r>
    <r>
      <rPr>
        <vertAlign val="superscript"/>
        <sz val="9"/>
        <rFont val="Arial"/>
        <family val="2"/>
      </rPr>
      <t>2</t>
    </r>
    <r>
      <rPr>
        <sz val="9"/>
        <rFont val="Arial"/>
        <family val="2"/>
      </rPr>
      <t>, fuel and power</t>
    </r>
  </si>
  <si>
    <t>-</t>
  </si>
  <si>
    <t>1 Mainly dependent on state pensions and not economically active - see definitions in technical report.</t>
  </si>
  <si>
    <t>UK, financial year ending 2018</t>
  </si>
  <si>
    <t>Table A1</t>
  </si>
  <si>
    <t>Components of household expenditure</t>
  </si>
  <si>
    <t>Average weekly</t>
  </si>
  <si>
    <t>Recording</t>
  </si>
  <si>
    <t>Percentage</t>
  </si>
  <si>
    <t>expenditure</t>
  </si>
  <si>
    <t>weekly</t>
  </si>
  <si>
    <t>house-</t>
  </si>
  <si>
    <t xml:space="preserve">standard </t>
  </si>
  <si>
    <t>all house-</t>
  </si>
  <si>
    <t>holds</t>
  </si>
  <si>
    <t>error (full</t>
  </si>
  <si>
    <t>holds (£)</t>
  </si>
  <si>
    <t>(£ million)</t>
  </si>
  <si>
    <t>in sample</t>
  </si>
  <si>
    <t>method)</t>
  </si>
  <si>
    <t>Total number of households</t>
  </si>
  <si>
    <t>Non Essential / Not required for basic standard of living</t>
  </si>
  <si>
    <t>% considered non -essential</t>
  </si>
  <si>
    <t xml:space="preserve">Essential / Basic standard of living </t>
  </si>
  <si>
    <t>Esesential or Basic cost of living</t>
  </si>
  <si>
    <t>% of Sample reporting this category of Expense</t>
  </si>
  <si>
    <t>Essential</t>
  </si>
  <si>
    <t xml:space="preserve">Food </t>
  </si>
  <si>
    <t>1.1.1</t>
  </si>
  <si>
    <t>Bread, rice and cereals</t>
  </si>
  <si>
    <t>1.1.1.1</t>
  </si>
  <si>
    <t>Rice</t>
  </si>
  <si>
    <t>1.1.1.2</t>
  </si>
  <si>
    <t>Bread</t>
  </si>
  <si>
    <t>1.1.1.3</t>
  </si>
  <si>
    <t>Other breads and cereals</t>
  </si>
  <si>
    <t>1.1.2</t>
  </si>
  <si>
    <t>Pasta products</t>
  </si>
  <si>
    <t>1.1.3</t>
  </si>
  <si>
    <t>Buns, cakes, biscuits etc</t>
  </si>
  <si>
    <t>1.1.3.1</t>
  </si>
  <si>
    <t>Buns, crispbread and biscuits</t>
  </si>
  <si>
    <t>1.1.3.2</t>
  </si>
  <si>
    <t>Cakes and puddings</t>
  </si>
  <si>
    <t>1.1.4</t>
  </si>
  <si>
    <t>Pastry (savoury)</t>
  </si>
  <si>
    <t>1.1.5</t>
  </si>
  <si>
    <t>Beef (fresh, chilled or frozen)</t>
  </si>
  <si>
    <t>1.1.6</t>
  </si>
  <si>
    <t>Pork (fresh, chilled or frozen)</t>
  </si>
  <si>
    <t>1.1.7</t>
  </si>
  <si>
    <t>Lamb (fresh, chilled or frozen)</t>
  </si>
  <si>
    <t>1.1.8</t>
  </si>
  <si>
    <t>Poultry (fresh, chilled or frozen)</t>
  </si>
  <si>
    <t>1.1.9</t>
  </si>
  <si>
    <t>Bacon and ham</t>
  </si>
  <si>
    <t>1.1.10</t>
  </si>
  <si>
    <t>Other meats and meat preparations</t>
  </si>
  <si>
    <t>1.1.10.1</t>
  </si>
  <si>
    <t>Sausages</t>
  </si>
  <si>
    <t>1.1.10.2</t>
  </si>
  <si>
    <t>Offal, pate etc</t>
  </si>
  <si>
    <t>1.1.10.3</t>
  </si>
  <si>
    <t>Other preserved or processed meat and meat preparations</t>
  </si>
  <si>
    <t>1.1.10.4</t>
  </si>
  <si>
    <t>Other fresh, chilled or frozen edible meat</t>
  </si>
  <si>
    <t>1.1.11</t>
  </si>
  <si>
    <t>Fish and fish products</t>
  </si>
  <si>
    <t>1.1.11.1</t>
  </si>
  <si>
    <t>Fish (fresh, chilled or frozen)</t>
  </si>
  <si>
    <t>1.1.11.2</t>
  </si>
  <si>
    <t>Seafood, dried, smoked or salted fish</t>
  </si>
  <si>
    <t>1.1.11.3</t>
  </si>
  <si>
    <t>Other preserved or processed fish and seafood</t>
  </si>
  <si>
    <t>1.1.12</t>
  </si>
  <si>
    <t>Milk</t>
  </si>
  <si>
    <t>1.1.12.1</t>
  </si>
  <si>
    <t>Whole milk</t>
  </si>
  <si>
    <t>1.1.12.2</t>
  </si>
  <si>
    <t>Low fat milk</t>
  </si>
  <si>
    <t>1.1.12.3</t>
  </si>
  <si>
    <t>Preserved milk</t>
  </si>
  <si>
    <t>1.1.13</t>
  </si>
  <si>
    <t>Cheese and curd</t>
  </si>
  <si>
    <t>1.1.14</t>
  </si>
  <si>
    <t>Eggs</t>
  </si>
  <si>
    <t>1.1.15</t>
  </si>
  <si>
    <t>Other milk products</t>
  </si>
  <si>
    <t>1.1.15.1</t>
  </si>
  <si>
    <t>1.1.15.2</t>
  </si>
  <si>
    <t>Yoghurt</t>
  </si>
  <si>
    <t>1.1.16</t>
  </si>
  <si>
    <t>Butter</t>
  </si>
  <si>
    <t>1.1.17</t>
  </si>
  <si>
    <t>Margarine, other vegetable fats and peanut butter</t>
  </si>
  <si>
    <t>1.1.18</t>
  </si>
  <si>
    <t>Cooking oils and fats</t>
  </si>
  <si>
    <t>1.1.18.1</t>
  </si>
  <si>
    <t>Olive oil</t>
  </si>
  <si>
    <t>1.1.18.2</t>
  </si>
  <si>
    <t>Edible oils and other edible animal fats</t>
  </si>
  <si>
    <t>1.1.19</t>
  </si>
  <si>
    <t>Fresh fruit</t>
  </si>
  <si>
    <t>1.1.19.1</t>
  </si>
  <si>
    <t>Citrus fruits (fresh)</t>
  </si>
  <si>
    <t>1.1.19.2</t>
  </si>
  <si>
    <t>Bananas (fresh)</t>
  </si>
  <si>
    <t>1.1.19.3</t>
  </si>
  <si>
    <t>Apples (fresh)</t>
  </si>
  <si>
    <t>1.1.19.4</t>
  </si>
  <si>
    <t>Pears (fresh)</t>
  </si>
  <si>
    <t>1.1.19.5</t>
  </si>
  <si>
    <t>Stone fruits (fresh)</t>
  </si>
  <si>
    <t>1.1.19.6</t>
  </si>
  <si>
    <t>Berries (fresh)</t>
  </si>
  <si>
    <t>1.1.20</t>
  </si>
  <si>
    <t>Other fresh, chilled or frozen fruits</t>
  </si>
  <si>
    <t>1.1.21</t>
  </si>
  <si>
    <t>Dried fruit and nuts</t>
  </si>
  <si>
    <t>1.1.22</t>
  </si>
  <si>
    <t>Preserved fruit and fruit based products</t>
  </si>
  <si>
    <t>1.1.23</t>
  </si>
  <si>
    <t>Fresh vegetables</t>
  </si>
  <si>
    <t>1.1.23.1</t>
  </si>
  <si>
    <t>Leaf and stem vegetables (fresh or chilled)</t>
  </si>
  <si>
    <t>1.1.23.2</t>
  </si>
  <si>
    <t>Cabbages (fresh or chilled)</t>
  </si>
  <si>
    <t>1.1.23.3</t>
  </si>
  <si>
    <t>Vegetables grown for their fruit (fresh, chilled or frozen)</t>
  </si>
  <si>
    <t>1.1.23.4</t>
  </si>
  <si>
    <t>Root crops, non-starchy bulbs and mushrooms (fresh, chilled or frozen)</t>
  </si>
  <si>
    <t>Note: The commodity and service categories are not comparable with those in publications before 2001-02.</t>
  </si>
  <si>
    <t>The numbering is sequential, it does not use actual COICOP codes.</t>
  </si>
  <si>
    <t>Components of household expenditure (cont)</t>
  </si>
  <si>
    <t>Food and non-alcoholic drinks (continued)</t>
  </si>
  <si>
    <t>1.1.24</t>
  </si>
  <si>
    <t>Dried vegetables</t>
  </si>
  <si>
    <t>1.1.25</t>
  </si>
  <si>
    <t>Other preserved or processed vegetables</t>
  </si>
  <si>
    <t>1.1.26</t>
  </si>
  <si>
    <t>Potatoes</t>
  </si>
  <si>
    <t>1.1.27</t>
  </si>
  <si>
    <t>Other tubers and products of tuber vegetables</t>
  </si>
  <si>
    <t>1.1.28</t>
  </si>
  <si>
    <t>Sugar and sugar products</t>
  </si>
  <si>
    <t>1.1.28.1</t>
  </si>
  <si>
    <t>Sugar</t>
  </si>
  <si>
    <t>1.1.28.2</t>
  </si>
  <si>
    <t>Other sugar products</t>
  </si>
  <si>
    <t>1.1.29</t>
  </si>
  <si>
    <t>Jams, marmalades</t>
  </si>
  <si>
    <t>1.1.30</t>
  </si>
  <si>
    <t>Chocolate</t>
  </si>
  <si>
    <t>1.1.31</t>
  </si>
  <si>
    <t>Confectionery products</t>
  </si>
  <si>
    <t>1.1.32</t>
  </si>
  <si>
    <t>Edible ices and ice cream</t>
  </si>
  <si>
    <t>1.1.33</t>
  </si>
  <si>
    <t>Other food products</t>
  </si>
  <si>
    <t>1.1.33.1</t>
  </si>
  <si>
    <t>Sauces, condiments</t>
  </si>
  <si>
    <t>1.1.33.2</t>
  </si>
  <si>
    <t>Baker's yeast, dessert preparations, soups</t>
  </si>
  <si>
    <t>1.1.33.3</t>
  </si>
  <si>
    <t>Salt, spices, culinary herbs and other food products</t>
  </si>
  <si>
    <t>Non-alcoholic drinks</t>
  </si>
  <si>
    <t>1.2.1</t>
  </si>
  <si>
    <t>Coffee</t>
  </si>
  <si>
    <t>1.2.2</t>
  </si>
  <si>
    <t>Tea</t>
  </si>
  <si>
    <t>1.2.3</t>
  </si>
  <si>
    <t>Cocoa and powdered chocolate</t>
  </si>
  <si>
    <t>1.2.4</t>
  </si>
  <si>
    <t>Fruit and vegetable juices</t>
  </si>
  <si>
    <t>1.2.5</t>
  </si>
  <si>
    <t>Mineral or spring waters</t>
  </si>
  <si>
    <t>1.2.6</t>
  </si>
  <si>
    <t>Soft drinks (inc. fizzy and ready to drink fruit drinks)</t>
  </si>
  <si>
    <t xml:space="preserve">Basic </t>
  </si>
  <si>
    <t xml:space="preserve"> Wouldn’t consider 100% essential, only 60% of households recorded spending on alcohol and 16% on tobacco and narcotics so have used this as basis for quantification to get 43% and then rounded down to 40% as expectation would be to reduce if in financial hardship</t>
  </si>
  <si>
    <t>Alcoholic drinks</t>
  </si>
  <si>
    <t>used % of households recording this expenditure as proxy for calculation (54%)</t>
  </si>
  <si>
    <t>2.1.1</t>
  </si>
  <si>
    <t>Spirits and liqueurs (brought home)</t>
  </si>
  <si>
    <t>2.1.2</t>
  </si>
  <si>
    <t>Wines, fortified wines (brought home)</t>
  </si>
  <si>
    <t>2.1.2.1</t>
  </si>
  <si>
    <t>Wine from grape or other fruit (brought home)</t>
  </si>
  <si>
    <t>2.1.2.2</t>
  </si>
  <si>
    <t>Fortified wine (brought home)</t>
  </si>
  <si>
    <t>2.1.2.3</t>
  </si>
  <si>
    <t>Champagne and sparkling wines (brought home)</t>
  </si>
  <si>
    <t>2.1.3</t>
  </si>
  <si>
    <t>Beer, lager, ciders and perry (brought home)</t>
  </si>
  <si>
    <t>2.1.3.1</t>
  </si>
  <si>
    <t>Beer and lager (brought home)</t>
  </si>
  <si>
    <t>2.1.3.2</t>
  </si>
  <si>
    <t>Ciders and perry (brought home)</t>
  </si>
  <si>
    <t>2.1.4</t>
  </si>
  <si>
    <t>Alcopops (brought home)</t>
  </si>
  <si>
    <r>
      <t>Tobacco and narcotics</t>
    </r>
    <r>
      <rPr>
        <vertAlign val="superscript"/>
        <sz val="8"/>
        <rFont val="Arial"/>
        <family val="2"/>
      </rPr>
      <t>1</t>
    </r>
  </si>
  <si>
    <t>used % of households recording this expenditure as proxy for calculation (16%)</t>
  </si>
  <si>
    <t>2.2.1</t>
  </si>
  <si>
    <t>Cigarettes</t>
  </si>
  <si>
    <t>2.2.2</t>
  </si>
  <si>
    <t>Cigars, other tobacco products and narcotics</t>
  </si>
  <si>
    <t>2.2.2.1</t>
  </si>
  <si>
    <t>Cigars</t>
  </si>
  <si>
    <t>2.2.2.2</t>
  </si>
  <si>
    <t>Other tobacco</t>
  </si>
  <si>
    <t>2.2.2.3</t>
  </si>
  <si>
    <t>Narcotics</t>
  </si>
  <si>
    <t>Only consider 50% as essential for basic quality of life as a) not all the categories would apply and b) in times of financial hardship it is likely thay this could be reduced by 50%</t>
  </si>
  <si>
    <t>Clothing</t>
  </si>
  <si>
    <t>3.1.1</t>
  </si>
  <si>
    <t>Men's outer garments</t>
  </si>
  <si>
    <t>3.1.2</t>
  </si>
  <si>
    <t>Men's under garments</t>
  </si>
  <si>
    <t>3.1.3</t>
  </si>
  <si>
    <t>Women's outer garments</t>
  </si>
  <si>
    <t>3.1.4</t>
  </si>
  <si>
    <t>Women's under garments</t>
  </si>
  <si>
    <t>3.1.5</t>
  </si>
  <si>
    <t>Boys' outer garments (5-15)</t>
  </si>
  <si>
    <t>3.1.6</t>
  </si>
  <si>
    <t>Girls' outer garments (5-15)</t>
  </si>
  <si>
    <t>3.1.7</t>
  </si>
  <si>
    <t>Infants' outer garments (under 5)</t>
  </si>
  <si>
    <t>3.1.8</t>
  </si>
  <si>
    <t>Children's under garments (under 16)</t>
  </si>
  <si>
    <t>1 Changes were made to the recording of e-cigarettes in 2015.</t>
  </si>
  <si>
    <t>Clothing and footwear (continued)</t>
  </si>
  <si>
    <t>3.1.9</t>
  </si>
  <si>
    <t>Accessories</t>
  </si>
  <si>
    <t>3.1.9.1</t>
  </si>
  <si>
    <t>Men's accessories</t>
  </si>
  <si>
    <t>3.1.9.2</t>
  </si>
  <si>
    <t>Women's accessories</t>
  </si>
  <si>
    <t>3.1.9.3</t>
  </si>
  <si>
    <t>Children's accessories</t>
  </si>
  <si>
    <t>3.1.9.4</t>
  </si>
  <si>
    <t>Protective head gear (crash helmets)</t>
  </si>
  <si>
    <t>3.1.10</t>
  </si>
  <si>
    <t>Haberdashery, clothing materials and clothing hire</t>
  </si>
  <si>
    <t>3.1.11</t>
  </si>
  <si>
    <t>Dry cleaners, laundry and dyeing</t>
  </si>
  <si>
    <t>3.1.11.1</t>
  </si>
  <si>
    <t>Dry cleaners and dyeing</t>
  </si>
  <si>
    <t>3.1.11.2</t>
  </si>
  <si>
    <t>Laundry, launderettes</t>
  </si>
  <si>
    <t>Footwear</t>
  </si>
  <si>
    <t>3.2.1</t>
  </si>
  <si>
    <t>Footwear for men</t>
  </si>
  <si>
    <t>3.2.2</t>
  </si>
  <si>
    <t>Footwear for women</t>
  </si>
  <si>
    <t>3.2.3</t>
  </si>
  <si>
    <t>Footwear for children (5 to 15 years) and infants (under 5)</t>
  </si>
  <si>
    <t>3.2.4</t>
  </si>
  <si>
    <t>Repair and hire of footwear</t>
  </si>
  <si>
    <r>
      <t>Housing(net)</t>
    </r>
    <r>
      <rPr>
        <b/>
        <vertAlign val="superscript"/>
        <sz val="9"/>
        <rFont val="Arial"/>
        <family val="2"/>
      </rPr>
      <t>2</t>
    </r>
    <r>
      <rPr>
        <b/>
        <sz val="9"/>
        <rFont val="Arial"/>
        <family val="2"/>
      </rPr>
      <t>, fuel and power</t>
    </r>
  </si>
  <si>
    <t>For a Mortgage it is not likely that Rent would apply and this category also includes some non essential mainteneance and alternative fuels  which are unlikely to be required in addition to main fuels (Gas &amp; Electricity)</t>
  </si>
  <si>
    <t>Actual rentals for housing</t>
  </si>
  <si>
    <t>Exclude net rent - expect to be replaced with Mortgage</t>
  </si>
  <si>
    <t>4.1.1</t>
  </si>
  <si>
    <t>Gross rent</t>
  </si>
  <si>
    <t>4.1.2</t>
  </si>
  <si>
    <r>
      <t>less</t>
    </r>
    <r>
      <rPr>
        <sz val="7"/>
        <rFont val="Arial"/>
        <family val="2"/>
      </rPr>
      <t xml:space="preserve"> housing benefit, rebates and allowances received</t>
    </r>
  </si>
  <si>
    <t>4.1.3</t>
  </si>
  <si>
    <r>
      <t>Net rent</t>
    </r>
    <r>
      <rPr>
        <vertAlign val="superscript"/>
        <sz val="7"/>
        <rFont val="Arial"/>
        <family val="2"/>
      </rPr>
      <t>3</t>
    </r>
  </si>
  <si>
    <t>4.1.4</t>
  </si>
  <si>
    <t>Second dwelling - rent</t>
  </si>
  <si>
    <t>Maintenance and repair of dwelling</t>
  </si>
  <si>
    <t>Exclude non essential maintenace , wall paper, paint, timber and equipment hire</t>
  </si>
  <si>
    <t>4.2.1</t>
  </si>
  <si>
    <t>Central heating repairs</t>
  </si>
  <si>
    <t>4.2.2</t>
  </si>
  <si>
    <t>House maintenance etc</t>
  </si>
  <si>
    <t>4.2.3</t>
  </si>
  <si>
    <t>Paint, wallpaper, timber</t>
  </si>
  <si>
    <t>4.2.4</t>
  </si>
  <si>
    <t>Equipment hire, small materials</t>
  </si>
  <si>
    <t>Water supply and miscellaneous services relating to the dwelling</t>
  </si>
  <si>
    <t xml:space="preserve">Exclude refuse collection - included in Council Tax / skip hire - non essential </t>
  </si>
  <si>
    <t>4.3.1</t>
  </si>
  <si>
    <t>Water charges</t>
  </si>
  <si>
    <t>4.3.2</t>
  </si>
  <si>
    <t>Other regular housing payments including service charge for rent</t>
  </si>
  <si>
    <t>4.3.3</t>
  </si>
  <si>
    <t>Refuse collection, including skip hire</t>
  </si>
  <si>
    <t>This is included in council tax</t>
  </si>
  <si>
    <t>Electricity, gas and other fuels</t>
  </si>
  <si>
    <t>Alternative Fuels unlikely to be required as well as gas and Electricity so this would likely be an either or</t>
  </si>
  <si>
    <t>4.4.1</t>
  </si>
  <si>
    <t>Electricity</t>
  </si>
  <si>
    <t>4.4.2</t>
  </si>
  <si>
    <t>Gas</t>
  </si>
  <si>
    <t>4.4.3</t>
  </si>
  <si>
    <t>Other fuels</t>
  </si>
  <si>
    <t>Unlikely to be required as well as other fuels</t>
  </si>
  <si>
    <t>4.4.3.1</t>
  </si>
  <si>
    <t>Coal and coke</t>
  </si>
  <si>
    <t>4.4.3.2</t>
  </si>
  <si>
    <t>Oil for central heating</t>
  </si>
  <si>
    <t>4.4.3.3</t>
  </si>
  <si>
    <t>Paraffin, wood, peat, hot water etc</t>
  </si>
  <si>
    <t>Given such a small abount being considered required for a basic standard of living ( for clleaning products/ detergent) then this can be added to the Food and Groceries as people are likely to include in here as they are bought in the usual shopping with additional 30% being factored into the surplus income % for furniture and appliances considered to be basic standard of living costs</t>
  </si>
  <si>
    <t>Furniture and furnishings, carpets and other floor coverings</t>
  </si>
  <si>
    <t>Exclude fancy decorative goods, garden furniture, soft and hard floor coverings as in a period of financial hardhip the replacement of such items can be postponed</t>
  </si>
  <si>
    <t>5.1.1</t>
  </si>
  <si>
    <t>Furniture and furnishings</t>
  </si>
  <si>
    <t>5.1.1.1</t>
  </si>
  <si>
    <t>Furniture</t>
  </si>
  <si>
    <t>5.1.1.2</t>
  </si>
  <si>
    <t>Fancy, decorative goods</t>
  </si>
  <si>
    <t>5.1.1.3</t>
  </si>
  <si>
    <t>Garden furniture</t>
  </si>
  <si>
    <t>5.1.2</t>
  </si>
  <si>
    <t>Floor coverings</t>
  </si>
  <si>
    <t>5.1.2.1</t>
  </si>
  <si>
    <t>Soft floor coverings</t>
  </si>
  <si>
    <t>5.1.2.2</t>
  </si>
  <si>
    <t>Hard floor coverings</t>
  </si>
  <si>
    <t>Household textiles</t>
  </si>
  <si>
    <t>Exclude textiles - replacement could be postponed if needed</t>
  </si>
  <si>
    <t>5.2.1</t>
  </si>
  <si>
    <t>Bedroom textiles, including duvets and pillows</t>
  </si>
  <si>
    <t>5.2.2</t>
  </si>
  <si>
    <t>Other household textiles, including cushions, towels, curtains</t>
  </si>
  <si>
    <t>3 The figure included in total expenditure is net rent as opposed to gross rent.</t>
  </si>
  <si>
    <t xml:space="preserve">Household goods and services (continued) </t>
  </si>
  <si>
    <t>Household appliances</t>
  </si>
  <si>
    <t>Basic</t>
  </si>
  <si>
    <t>Household appliance considered a requirement for Basic Standard of Living</t>
  </si>
  <si>
    <t>5.3.1</t>
  </si>
  <si>
    <t>Gas cookers</t>
  </si>
  <si>
    <t>5.3.2</t>
  </si>
  <si>
    <t>Electric cookers, combined gas/electric cookers</t>
  </si>
  <si>
    <t>5.3.3</t>
  </si>
  <si>
    <t>Clothes washing machines and drying machines</t>
  </si>
  <si>
    <t>5.3.4</t>
  </si>
  <si>
    <t>Refrigerators, freezers and fridge-freezers</t>
  </si>
  <si>
    <t>5.3.5</t>
  </si>
  <si>
    <t>Other major electrical appliances, dishwashers, micro-waves</t>
  </si>
  <si>
    <t>vacuum cleaners, heaters etc</t>
  </si>
  <si>
    <t>5.3.6</t>
  </si>
  <si>
    <t>Fire extinguisher, water softener, safes etc</t>
  </si>
  <si>
    <t>5.3.7</t>
  </si>
  <si>
    <t>Small electric household appliances, excluding hairdryers</t>
  </si>
  <si>
    <t>5.3.8</t>
  </si>
  <si>
    <t>Repairs to gas and electrical appliances and spare parts</t>
  </si>
  <si>
    <t>5.3.9</t>
  </si>
  <si>
    <t>Rental/hire of major household appliances</t>
  </si>
  <si>
    <t>Glassware, tableware and household utensils</t>
  </si>
  <si>
    <t>Exclude - replacement could be postponed if needed</t>
  </si>
  <si>
    <t>5.4.1</t>
  </si>
  <si>
    <t>Glassware, china, pottery, cutlery and silverware</t>
  </si>
  <si>
    <t>5.4.2</t>
  </si>
  <si>
    <t>Kitchen and domestic utensils</t>
  </si>
  <si>
    <t>5.4.3</t>
  </si>
  <si>
    <t>Repair of glassware, tableware and household utensils</t>
  </si>
  <si>
    <t>5.4.4</t>
  </si>
  <si>
    <t>Storage and other durable household articles</t>
  </si>
  <si>
    <t>Tools and equipment for house and garden</t>
  </si>
  <si>
    <t>5.5.1</t>
  </si>
  <si>
    <t>Electrical tools</t>
  </si>
  <si>
    <t>5.5.2</t>
  </si>
  <si>
    <t>Garden tools, equipment and accessories eg lawn mowers etc</t>
  </si>
  <si>
    <t>5.5.3</t>
  </si>
  <si>
    <t>Small tools</t>
  </si>
  <si>
    <t>5.5.4</t>
  </si>
  <si>
    <t>Door, electrical and other fittings</t>
  </si>
  <si>
    <t>5.5.5</t>
  </si>
  <si>
    <t>Electrical consumables</t>
  </si>
  <si>
    <t>Goods and services for routine household maintenance</t>
  </si>
  <si>
    <t>All Included as essential - Cleaning products etc</t>
  </si>
  <si>
    <t>5.6.1</t>
  </si>
  <si>
    <t>Cleaning materials</t>
  </si>
  <si>
    <t>5.6.1.1</t>
  </si>
  <si>
    <t>Detergents, washing-up liquid, washing powder</t>
  </si>
  <si>
    <t>5.6.1.2</t>
  </si>
  <si>
    <t>Disinfectants, polishes, other cleaning materials etc</t>
  </si>
  <si>
    <t>5.6.2</t>
  </si>
  <si>
    <t>Household goods and hardware</t>
  </si>
  <si>
    <t>5.6.2.1</t>
  </si>
  <si>
    <t>Kitchen disposables</t>
  </si>
  <si>
    <t>5.6.2.2</t>
  </si>
  <si>
    <t>Household hardware and appliances, matches</t>
  </si>
  <si>
    <t>5.6.2.3</t>
  </si>
  <si>
    <t>Kitchen gloves, cloths etc</t>
  </si>
  <si>
    <t>5.6.2.4</t>
  </si>
  <si>
    <t>Pins, needles, tape measures, nails, nuts and bolts etc</t>
  </si>
  <si>
    <t>5.6.3</t>
  </si>
  <si>
    <t>Domestic services, carpet cleaning, hire/repair of furniture/furnishings</t>
  </si>
  <si>
    <t>5.6.3.1</t>
  </si>
  <si>
    <t>Domestic services, including cleaners, gardeners, au pairs</t>
  </si>
  <si>
    <t>5.6.3.2</t>
  </si>
  <si>
    <t>Carpet cleaning, ironing service, window cleaner</t>
  </si>
  <si>
    <t>5.6.3.3</t>
  </si>
  <si>
    <t>Hire/repair of household furniture and furnishings</t>
  </si>
  <si>
    <t xml:space="preserve">Excludes private dental/ medical costs </t>
  </si>
  <si>
    <t>Medical products, appliances and equipment</t>
  </si>
  <si>
    <t>6.1.1</t>
  </si>
  <si>
    <t>Medicines, prescriptions and healthcare products</t>
  </si>
  <si>
    <t>6.1.1.1</t>
  </si>
  <si>
    <t>NHS prescription charges and payments</t>
  </si>
  <si>
    <t>6.1.1.2</t>
  </si>
  <si>
    <t>Medicines and medical goods (not NHS)</t>
  </si>
  <si>
    <t>6.1.1.3</t>
  </si>
  <si>
    <t>Other medical products (eg plasters, condoms, hot water bottle etc)</t>
  </si>
  <si>
    <t>6.1.1.4</t>
  </si>
  <si>
    <t>Non-optical appliances and equipment (eg wheelchairs, batteries</t>
  </si>
  <si>
    <t>for hearing aids, shoe build-up)</t>
  </si>
  <si>
    <t>6.1.2</t>
  </si>
  <si>
    <t>Spectacles, lenses, accessories and repairs</t>
  </si>
  <si>
    <t>6.1.2.1</t>
  </si>
  <si>
    <t>Purchase of spectacles, lenses, prescription sunglasses</t>
  </si>
  <si>
    <t>6.1.2.2</t>
  </si>
  <si>
    <t>Accessories/repairs to spectacles/lenses</t>
  </si>
  <si>
    <t>Hospital services</t>
  </si>
  <si>
    <t>Exclude Private medical, dental , optical</t>
  </si>
  <si>
    <t>6.2.1</t>
  </si>
  <si>
    <t>Out patient services</t>
  </si>
  <si>
    <t>6.2.1.1</t>
  </si>
  <si>
    <t>NHS medical, optical, dental and medical auxiliary services</t>
  </si>
  <si>
    <t>6.2.1.2</t>
  </si>
  <si>
    <t>Private medical, optical, dental and medical auxiliary services</t>
  </si>
  <si>
    <t>6.2.1.3</t>
  </si>
  <si>
    <t>Other services</t>
  </si>
  <si>
    <t>6.2.2</t>
  </si>
  <si>
    <t>In-patient hospital services</t>
  </si>
  <si>
    <t xml:space="preserve">Essential &amp; Basic </t>
  </si>
  <si>
    <t>It is anticipated the ONS captures both essential and non essential plus some duplication ie car running costs plus public transport costs and both may not apply, suggest the 65% is potentially essential or basic standard of living expense and could be reduced further if not a car owner to say 35%</t>
  </si>
  <si>
    <t>Purchase of vehicles</t>
  </si>
  <si>
    <t>Exclude 50% as either purchase of new or used rather than combined so suggest that 50% is considered to be a basic standard of living expense</t>
  </si>
  <si>
    <t>7.1.1</t>
  </si>
  <si>
    <t>Purchase of new cars and vans</t>
  </si>
  <si>
    <t>7.1.1.1</t>
  </si>
  <si>
    <t>Outright purchases</t>
  </si>
  <si>
    <t>7.1.1.2</t>
  </si>
  <si>
    <t>Loan/Hire Purchase of new car/van</t>
  </si>
  <si>
    <t>7.1.2</t>
  </si>
  <si>
    <t>Purchase of second hand cars or vans</t>
  </si>
  <si>
    <t>7.1.2.1</t>
  </si>
  <si>
    <t>7.1.2.2</t>
  </si>
  <si>
    <t>Loan/Hire Purchase of second hand car/van</t>
  </si>
  <si>
    <t>7.1.3</t>
  </si>
  <si>
    <t>Purchase of motorcycles</t>
  </si>
  <si>
    <t>7.1.3.1</t>
  </si>
  <si>
    <t>Outright purchases of new or second hand motorcycles</t>
  </si>
  <si>
    <t>7.1.3.2</t>
  </si>
  <si>
    <t>Loan/Hire Purchase of new or second hand motorcycles</t>
  </si>
  <si>
    <t>7.1.3.3</t>
  </si>
  <si>
    <t>Purchase of bicycles and other vehicles</t>
  </si>
  <si>
    <t>Operation of personal transport</t>
  </si>
  <si>
    <t>Exclude elements of operational costs such as accessoroes, motoring organisations subscriptions, garage rent and driving lessons as not considered to be essential</t>
  </si>
  <si>
    <t>7.2.1</t>
  </si>
  <si>
    <t>Spares and accessories</t>
  </si>
  <si>
    <t>only 50% required for basic standard of living - new cars may have element of parts / servicing included in a warrantly</t>
  </si>
  <si>
    <t>7.2.1.1</t>
  </si>
  <si>
    <t>Car/van accessories and fittings</t>
  </si>
  <si>
    <t>7.2.1.2</t>
  </si>
  <si>
    <t>Car/van spare parts</t>
  </si>
  <si>
    <t>7.2.1.3</t>
  </si>
  <si>
    <t>Motorcycle accessories and spare parts</t>
  </si>
  <si>
    <t>7.2.1.4</t>
  </si>
  <si>
    <t>Bicycle accessories, repairs and other costs</t>
  </si>
  <si>
    <t>7.2.2</t>
  </si>
  <si>
    <t>Petrol, diesel and other motor oils</t>
  </si>
  <si>
    <t>7.2.2.1</t>
  </si>
  <si>
    <t>Petrol</t>
  </si>
  <si>
    <t>7.2.2.2</t>
  </si>
  <si>
    <t>Diesel oil</t>
  </si>
  <si>
    <t>7.2.2.3</t>
  </si>
  <si>
    <t>Other motor oils</t>
  </si>
  <si>
    <t>7.2.3</t>
  </si>
  <si>
    <t>Repairs and servicing</t>
  </si>
  <si>
    <t>7.2.3.1</t>
  </si>
  <si>
    <t>Car or van repairs, servicing and other work</t>
  </si>
  <si>
    <t>7.2.3.2</t>
  </si>
  <si>
    <t>Motorcycle repairs and servicing</t>
  </si>
  <si>
    <t>7.2.4</t>
  </si>
  <si>
    <t>Other motoring costs</t>
  </si>
  <si>
    <t>7.2.4.1</t>
  </si>
  <si>
    <t>Motoring organisation subscription (eg AA and RAC)</t>
  </si>
  <si>
    <t>non essential</t>
  </si>
  <si>
    <t>7.2.4.2</t>
  </si>
  <si>
    <t>Garage rent, other costs (excluding fines), car washing etc</t>
  </si>
  <si>
    <t>7.2.4.3</t>
  </si>
  <si>
    <t>Parking fees, tolls, and permits (excluding motoring fines)</t>
  </si>
  <si>
    <t>7.2.4.4</t>
  </si>
  <si>
    <t>Driving lessons</t>
  </si>
  <si>
    <t>7.2.4.5</t>
  </si>
  <si>
    <t>Anti-freeze, battery water, cleaning materials</t>
  </si>
  <si>
    <t>Transport services</t>
  </si>
  <si>
    <t xml:space="preserve">Excludes non essential travel costs such as Air Fares, Taxis, Car hire, water travel </t>
  </si>
  <si>
    <t>7.3.1</t>
  </si>
  <si>
    <t>Rail and tube fares</t>
  </si>
  <si>
    <t>7.3.1.1</t>
  </si>
  <si>
    <t>Season tickets</t>
  </si>
  <si>
    <t>7.3.1.2</t>
  </si>
  <si>
    <t>Other than season tickets</t>
  </si>
  <si>
    <t>7.3.2</t>
  </si>
  <si>
    <t>Bus and coach fares</t>
  </si>
  <si>
    <t>7.3.2.1</t>
  </si>
  <si>
    <t>7.3.2.2</t>
  </si>
  <si>
    <t>7.3.3</t>
  </si>
  <si>
    <t>Combined fares</t>
  </si>
  <si>
    <t>7.3.3.1</t>
  </si>
  <si>
    <t>Combined fares other than season tickets</t>
  </si>
  <si>
    <t>7.3.3.2</t>
  </si>
  <si>
    <t>Combined fares season tickets</t>
  </si>
  <si>
    <t>7.3.4</t>
  </si>
  <si>
    <t>Other travel and transport</t>
  </si>
  <si>
    <t xml:space="preserve">Excluded </t>
  </si>
  <si>
    <t xml:space="preserve">generally Excluded (aside from School travel) as considered non essential </t>
  </si>
  <si>
    <t>7.3.4.1</t>
  </si>
  <si>
    <t>Air fares (within UK)</t>
  </si>
  <si>
    <t>7.3.4.2</t>
  </si>
  <si>
    <t>Air fares (international)</t>
  </si>
  <si>
    <t>7.3.4.3</t>
  </si>
  <si>
    <t>School travel</t>
  </si>
  <si>
    <t>7.3.4.4</t>
  </si>
  <si>
    <t>Taxis and hired cars with drivers</t>
  </si>
  <si>
    <t>7.3.4.5</t>
  </si>
  <si>
    <t>Other personal travel and transport services</t>
  </si>
  <si>
    <t>7.3.4.6</t>
  </si>
  <si>
    <t>Hire of self-drive cars, vans, bicycles</t>
  </si>
  <si>
    <t>7.3.4.7</t>
  </si>
  <si>
    <t>Car leasing</t>
  </si>
  <si>
    <t>7.3.4.8</t>
  </si>
  <si>
    <t>Water travel, ferries and season tickets</t>
  </si>
  <si>
    <t>Postal services</t>
  </si>
  <si>
    <t>Telephone and telefax equipment</t>
  </si>
  <si>
    <t>Exclude new phone purchase as not considered to be essential</t>
  </si>
  <si>
    <t>8.2.1</t>
  </si>
  <si>
    <t>Telephone purchase</t>
  </si>
  <si>
    <t>8.2.2</t>
  </si>
  <si>
    <t>Mobile phone purchase</t>
  </si>
  <si>
    <t>8.2.3</t>
  </si>
  <si>
    <t>Answering machine, fax machine, modem purchase</t>
  </si>
  <si>
    <t>Telephone and telefax services</t>
  </si>
  <si>
    <t>8.3.1</t>
  </si>
  <si>
    <t>Telephone account</t>
  </si>
  <si>
    <t>8.3.2</t>
  </si>
  <si>
    <t>Telephone coin and other payments</t>
  </si>
  <si>
    <t>8.3.3</t>
  </si>
  <si>
    <t>Mobile phone account</t>
  </si>
  <si>
    <t>8.3.4</t>
  </si>
  <si>
    <t>Mobile phone - other payments</t>
  </si>
  <si>
    <t>Internet subscription fees</t>
  </si>
  <si>
    <t>TV subscriptions considered to be basic standard of living plus potential additional 20% to captured within surplus income for basic living costs</t>
  </si>
  <si>
    <t>Audio-visual, photographic and information processing equipment</t>
  </si>
  <si>
    <t>Purchase of new equipment not  considered essential</t>
  </si>
  <si>
    <t>9.1.1</t>
  </si>
  <si>
    <t>Audio equipment and accessories, CD players</t>
  </si>
  <si>
    <t>9.1.1.1</t>
  </si>
  <si>
    <t>Audio equipment, CD players including in car</t>
  </si>
  <si>
    <t>9.1.1.2</t>
  </si>
  <si>
    <t>Audio accessories eg tapes, headphones etc</t>
  </si>
  <si>
    <t>9.1.2</t>
  </si>
  <si>
    <t>TV, video and computers</t>
  </si>
  <si>
    <t>9.1.2.1</t>
  </si>
  <si>
    <t>Purchase of TV and digital decoder</t>
  </si>
  <si>
    <t>9.1.2.2</t>
  </si>
  <si>
    <t>Satellite dish purchase and installation</t>
  </si>
  <si>
    <t>9.1.2.3</t>
  </si>
  <si>
    <t>Cable TV connection</t>
  </si>
  <si>
    <t>9.1.2.4</t>
  </si>
  <si>
    <t>Video recorder</t>
  </si>
  <si>
    <t>9.1.2.5</t>
  </si>
  <si>
    <t>DVD player/recorder</t>
  </si>
  <si>
    <t>9.1.2.6</t>
  </si>
  <si>
    <t>Blank, pre-recorded video cassettes, DVDs</t>
  </si>
  <si>
    <t>9.1.2.7</t>
  </si>
  <si>
    <t>Personal computers, printers and calculators</t>
  </si>
  <si>
    <t>9.1.2.8</t>
  </si>
  <si>
    <t>Spare parts for TV, video, audio</t>
  </si>
  <si>
    <t>9.1.2.9</t>
  </si>
  <si>
    <t>Repair of audio-visual, photographic and information processing</t>
  </si>
  <si>
    <t>9.1.3</t>
  </si>
  <si>
    <t>Photographic, cine and optical equipment</t>
  </si>
  <si>
    <t>9.1.3.1</t>
  </si>
  <si>
    <t>Photographic and cine equipment</t>
  </si>
  <si>
    <t>9.1.3.2</t>
  </si>
  <si>
    <t>Camera films</t>
  </si>
  <si>
    <t>9.1.3.3</t>
  </si>
  <si>
    <t>Optical instruments, binoculars, telescopes, microscopes</t>
  </si>
  <si>
    <t>Other major durables for recreation and culture</t>
  </si>
  <si>
    <t>Boats, trailers, horses not consirered essential</t>
  </si>
  <si>
    <t>9.2.1</t>
  </si>
  <si>
    <t>Purchase of boats, trailers and horses</t>
  </si>
  <si>
    <t>9.2.2</t>
  </si>
  <si>
    <t>Purchase of caravans, mobile homes (including decoration)</t>
  </si>
  <si>
    <t>9.2.3</t>
  </si>
  <si>
    <t>Accessories for boats, horses, caravans and motor caravans</t>
  </si>
  <si>
    <t>9.2.4</t>
  </si>
  <si>
    <t>Musical instruments (purchase and hire)</t>
  </si>
  <si>
    <t>9.2.5</t>
  </si>
  <si>
    <t xml:space="preserve">Major durables for indoor recreation </t>
  </si>
  <si>
    <t>9.2.6</t>
  </si>
  <si>
    <t>Maintenance and repair of other major durables</t>
  </si>
  <si>
    <t>9.2.7</t>
  </si>
  <si>
    <t>Purchase of motor caravan (new and second-hand) - outright purchase</t>
  </si>
  <si>
    <t>9.2.8</t>
  </si>
  <si>
    <t>Purchase of motor caravan (new and second-hand) - loan/HP</t>
  </si>
  <si>
    <t>Other recreational items and equipment, gardens and pets</t>
  </si>
  <si>
    <t>consider 50% for basic standard of living</t>
  </si>
  <si>
    <t>9.3.1</t>
  </si>
  <si>
    <t>Games, toys and hobbies</t>
  </si>
  <si>
    <t>9.3.2</t>
  </si>
  <si>
    <t>Computer software and games</t>
  </si>
  <si>
    <t>9.3.2.1</t>
  </si>
  <si>
    <t>Computer software and game cartridges</t>
  </si>
  <si>
    <t>9.3.2.2</t>
  </si>
  <si>
    <t>Computer games consoles</t>
  </si>
  <si>
    <t>9.3.3</t>
  </si>
  <si>
    <t>Equipment for sport, camping and open-air recreation</t>
  </si>
  <si>
    <t>9.3.4</t>
  </si>
  <si>
    <t>Horticultural goods, garden equipment and plants etc</t>
  </si>
  <si>
    <t>9.3.4.1</t>
  </si>
  <si>
    <t>BBQ and swings</t>
  </si>
  <si>
    <t>9.3.4.2</t>
  </si>
  <si>
    <t>Plants, flowers, seeds, fertilisers, insecticides</t>
  </si>
  <si>
    <t>9.3.4.3</t>
  </si>
  <si>
    <t>Garden decorative</t>
  </si>
  <si>
    <t>9.3.4.4</t>
  </si>
  <si>
    <t>Artificial flowers, pot pourri</t>
  </si>
  <si>
    <t>9.3.5</t>
  </si>
  <si>
    <t>Pets and pet food</t>
  </si>
  <si>
    <t>9.3.5.1</t>
  </si>
  <si>
    <t>Pet food</t>
  </si>
  <si>
    <t>9.3.5.2</t>
  </si>
  <si>
    <t>Pet purchase and accessories</t>
  </si>
  <si>
    <t>9.3.5.3</t>
  </si>
  <si>
    <t>Veterinary and other services for pets identified separately</t>
  </si>
  <si>
    <t>Recreation and culture (continued)</t>
  </si>
  <si>
    <t>Recreational and cultural services</t>
  </si>
  <si>
    <t>Excluded elements of Sports Subscriptions, cinema, theater admission but include TV, video, satellite rental, cable subscriptions and TV licences considered to be a basic standard of living</t>
  </si>
  <si>
    <t>9.4.1</t>
  </si>
  <si>
    <t>Sports admissions, subscriptions, leisure class fees and equipment hire</t>
  </si>
  <si>
    <t>9.4.1.1</t>
  </si>
  <si>
    <t>Spectator sports: admission charges</t>
  </si>
  <si>
    <t>9.4.1.2</t>
  </si>
  <si>
    <t>Participant sports (excluding subscriptions)</t>
  </si>
  <si>
    <t>9.4.1.3</t>
  </si>
  <si>
    <t>Subscriptions to sports and social clubs</t>
  </si>
  <si>
    <t>9.4.1.4</t>
  </si>
  <si>
    <t>Leisure class fees</t>
  </si>
  <si>
    <t>9.4.1.5</t>
  </si>
  <si>
    <t>Hire of equipment for sport and open air recreation</t>
  </si>
  <si>
    <t>9.4.2</t>
  </si>
  <si>
    <t>Cinema, theatre and museums etc</t>
  </si>
  <si>
    <t>9.4.2.1</t>
  </si>
  <si>
    <t>Cinemas</t>
  </si>
  <si>
    <t>9.4.2.2</t>
  </si>
  <si>
    <t>Live entertainment: theatre, concerts, shows</t>
  </si>
  <si>
    <t>9.4.2.3</t>
  </si>
  <si>
    <t>Museums, zoological gardens, theme parks, houses and gardens</t>
  </si>
  <si>
    <t>9.4.3</t>
  </si>
  <si>
    <t>TV, video, satellite rental, cable subscriptions and TV licences</t>
  </si>
  <si>
    <t>9.4.3.1</t>
  </si>
  <si>
    <t>TV licences</t>
  </si>
  <si>
    <t>9.4.3.2</t>
  </si>
  <si>
    <t>Satellite subscriptions</t>
  </si>
  <si>
    <t>9.4.3.3</t>
  </si>
  <si>
    <t>Rent for TV/Satellite/VCR</t>
  </si>
  <si>
    <t>9.4.3.4</t>
  </si>
  <si>
    <t>Cable subscriptions</t>
  </si>
  <si>
    <t>9.4.3.5</t>
  </si>
  <si>
    <t>TV slot meter payments</t>
  </si>
  <si>
    <t>9.4.3.6</t>
  </si>
  <si>
    <t>Video, cassette and CD hire</t>
  </si>
  <si>
    <t>9.4.4</t>
  </si>
  <si>
    <t>Miscellaneous entertainments</t>
  </si>
  <si>
    <t>9.4.4.1</t>
  </si>
  <si>
    <t>Admissions to clubs, dances, discos, bingo</t>
  </si>
  <si>
    <t>9.4.4.2</t>
  </si>
  <si>
    <t>Social events and gatherings</t>
  </si>
  <si>
    <t>9.4.4.3</t>
  </si>
  <si>
    <t>Subscriptions for leisure activities and other subscriptions</t>
  </si>
  <si>
    <t>9.4.5</t>
  </si>
  <si>
    <t>Development of film, deposit for film development, passport</t>
  </si>
  <si>
    <t>photos, holiday and school photos</t>
  </si>
  <si>
    <t>9.4.6</t>
  </si>
  <si>
    <t>Gambling payments</t>
  </si>
  <si>
    <t>9.4.6.1</t>
  </si>
  <si>
    <t>Football pools stakes</t>
  </si>
  <si>
    <t>9.4.6.2</t>
  </si>
  <si>
    <t>Bingo stakes excluding admission</t>
  </si>
  <si>
    <t>9.4.6.3</t>
  </si>
  <si>
    <t xml:space="preserve">Lottery </t>
  </si>
  <si>
    <t>9.4.6.4</t>
  </si>
  <si>
    <t>Bookmaker, tote, other betting stakes</t>
  </si>
  <si>
    <t>Newspapers, books and stationery</t>
  </si>
  <si>
    <t>Non Essential</t>
  </si>
  <si>
    <t>9.5.1</t>
  </si>
  <si>
    <t>Books</t>
  </si>
  <si>
    <t>9.5.2</t>
  </si>
  <si>
    <t>Stationery, diaries, address books, art materials</t>
  </si>
  <si>
    <t>9.5.3</t>
  </si>
  <si>
    <t>Cards, calendars, posters and other printed matter</t>
  </si>
  <si>
    <t>9.5.4</t>
  </si>
  <si>
    <t>Newspapers</t>
  </si>
  <si>
    <t>9.5.5</t>
  </si>
  <si>
    <t>Magazines and periodicals</t>
  </si>
  <si>
    <t>Package holidays</t>
  </si>
  <si>
    <t>9.6.1</t>
  </si>
  <si>
    <t>Package holidays - UK</t>
  </si>
  <si>
    <t>9.6.2</t>
  </si>
  <si>
    <t>Package holidays - abroad</t>
  </si>
  <si>
    <t>suggest 50%</t>
  </si>
  <si>
    <t>Not all these would apply - although there would be an element which would be payable so recommend 50%</t>
  </si>
  <si>
    <t>Education fees</t>
  </si>
  <si>
    <t>10.1.1</t>
  </si>
  <si>
    <t>Nursery and primary education</t>
  </si>
  <si>
    <t>10.1.2</t>
  </si>
  <si>
    <t>Secondary education</t>
  </si>
  <si>
    <t>10.1.3</t>
  </si>
  <si>
    <t>Sixth form college/college education</t>
  </si>
  <si>
    <t>10.1.4</t>
  </si>
  <si>
    <t>University education</t>
  </si>
  <si>
    <t>10.1.5</t>
  </si>
  <si>
    <t>Other education</t>
  </si>
  <si>
    <t>Payments for school trips, other ad-hoc expenditure</t>
  </si>
  <si>
    <t>10.2.1</t>
  </si>
  <si>
    <t>10.2.2</t>
  </si>
  <si>
    <t>10.2.3</t>
  </si>
  <si>
    <t>10.2.4</t>
  </si>
  <si>
    <t>10.2.5</t>
  </si>
  <si>
    <t>consider some to be a basic standard of living, eg 50% of takeaway spend, other snack food and confectionery and school meals or meals bought and eaten at the office</t>
  </si>
  <si>
    <t>Catering services</t>
  </si>
  <si>
    <t>11.1.1</t>
  </si>
  <si>
    <t>Restaurant and café meals</t>
  </si>
  <si>
    <t>11.1.2</t>
  </si>
  <si>
    <t>Alcoholic drinks (away from home)</t>
  </si>
  <si>
    <t>11.1.3</t>
  </si>
  <si>
    <t>Take away meals eaten at home</t>
  </si>
  <si>
    <t>Takeaway - Basic standard of Living but maybe at 50% frequency</t>
  </si>
  <si>
    <t>11.1.4</t>
  </si>
  <si>
    <t>Other take-away and snack food</t>
  </si>
  <si>
    <t xml:space="preserve">could be considered basic standard of living </t>
  </si>
  <si>
    <t>11.1.4.1</t>
  </si>
  <si>
    <t>Hot and cold food</t>
  </si>
  <si>
    <t>11.1.4.2</t>
  </si>
  <si>
    <t>Confectionery</t>
  </si>
  <si>
    <t>11.1.4.3</t>
  </si>
  <si>
    <t>Ice cream</t>
  </si>
  <si>
    <t>11.1.4.4</t>
  </si>
  <si>
    <t>Soft drinks</t>
  </si>
  <si>
    <t>11.1.5</t>
  </si>
  <si>
    <t>Contract catering (food)</t>
  </si>
  <si>
    <t>11.1.6</t>
  </si>
  <si>
    <t>Canteens</t>
  </si>
  <si>
    <t>School/ work meals - Basic standard of Living</t>
  </si>
  <si>
    <t>11.1.6.1</t>
  </si>
  <si>
    <t>School meals</t>
  </si>
  <si>
    <t>11.1.6.2</t>
  </si>
  <si>
    <t>Meals bought and eaten at the workplace</t>
  </si>
  <si>
    <t>Accommodation services</t>
  </si>
  <si>
    <t>Non - essential holidays / room hire</t>
  </si>
  <si>
    <t>11.2.1</t>
  </si>
  <si>
    <t>Holiday in the UK</t>
  </si>
  <si>
    <t>11.2.2</t>
  </si>
  <si>
    <t>Holiday abroad</t>
  </si>
  <si>
    <t>11.2.3</t>
  </si>
  <si>
    <t>Room hire</t>
  </si>
  <si>
    <t xml:space="preserve">Buildings Ins- Essential, Toilerires and Soap Essential, remainder - Basic </t>
  </si>
  <si>
    <t>of which 15% toiletries / 43% vehicle ins / 21% home insurances/ 21% other</t>
  </si>
  <si>
    <t>Personal care</t>
  </si>
  <si>
    <t>Excluding 50% of Hairdressing/ Beauty treatments, hair products and cosmetics and all electrical appliances</t>
  </si>
  <si>
    <t>12.1.1</t>
  </si>
  <si>
    <t>Hairdressing, beauty treatment</t>
  </si>
  <si>
    <t>Have included 50% as beauty treatment not considered essential</t>
  </si>
  <si>
    <t>12.1.2</t>
  </si>
  <si>
    <t>Toilet paper</t>
  </si>
  <si>
    <t>12.1.3</t>
  </si>
  <si>
    <t>Toiletries and soap</t>
  </si>
  <si>
    <t>12.1.3.1</t>
  </si>
  <si>
    <t>Toiletries (disposable including tampons, lipsyl, toothpaste etc)</t>
  </si>
  <si>
    <t>12.1.3.2</t>
  </si>
  <si>
    <t>Bar of soap, liquid soap, shower gel etc</t>
  </si>
  <si>
    <t>12.1.3.3</t>
  </si>
  <si>
    <t>Toilet requisites (durable including razors, hairbrushes, toothbrushes etc)</t>
  </si>
  <si>
    <t>12.1.4</t>
  </si>
  <si>
    <t>Baby toiletries and accessories (disposable)</t>
  </si>
  <si>
    <t>12.1.5</t>
  </si>
  <si>
    <t>Hair products, cosmetics and electrical appliances for personal care</t>
  </si>
  <si>
    <t>12.1.5.1</t>
  </si>
  <si>
    <t>Hair products</t>
  </si>
  <si>
    <t>12.1.5.2</t>
  </si>
  <si>
    <t>Cosmetics and related accessories</t>
  </si>
  <si>
    <t>12.1.5.3</t>
  </si>
  <si>
    <t>Electrical appliances for personal care, including hairdryers, shavers etc</t>
  </si>
  <si>
    <t xml:space="preserve">Personal effects </t>
  </si>
  <si>
    <t>12.2.1</t>
  </si>
  <si>
    <t>Jewellery, clocks and watches and other personal effects</t>
  </si>
  <si>
    <t>12.2.2</t>
  </si>
  <si>
    <t>Leather and travel goods (excluding baby items)</t>
  </si>
  <si>
    <t>12.2.3</t>
  </si>
  <si>
    <t>Sunglasses (non-prescription)</t>
  </si>
  <si>
    <t>12.2.4</t>
  </si>
  <si>
    <t>Baby equipment (excluding prams and pushchairs)</t>
  </si>
  <si>
    <t>12.2.5</t>
  </si>
  <si>
    <t>Prams, pram accessories and pushchairs</t>
  </si>
  <si>
    <t>12.2.6</t>
  </si>
  <si>
    <t>Repairs to personal goods</t>
  </si>
  <si>
    <t>Social protection</t>
  </si>
  <si>
    <t>Childcare captured seperately, home help would expect to be covered in Other expenditure</t>
  </si>
  <si>
    <t>12.3.1</t>
  </si>
  <si>
    <t>Residential homes</t>
  </si>
  <si>
    <t>12.3.2</t>
  </si>
  <si>
    <t>Home help</t>
  </si>
  <si>
    <t>12.3.3</t>
  </si>
  <si>
    <t>Nursery, crèche, playschools</t>
  </si>
  <si>
    <t>12.3.4</t>
  </si>
  <si>
    <t>Child care payments</t>
  </si>
  <si>
    <t>Miscellaneous goods and services (continued)</t>
  </si>
  <si>
    <t>Insurance</t>
  </si>
  <si>
    <t>12.4.1</t>
  </si>
  <si>
    <t>Household insurances</t>
  </si>
  <si>
    <t>12.4.1.1</t>
  </si>
  <si>
    <t>Structure insurance</t>
  </si>
  <si>
    <t>12.4.1.2</t>
  </si>
  <si>
    <t>Contents insurance</t>
  </si>
  <si>
    <t>12.4.1.3</t>
  </si>
  <si>
    <t>Insurance for household appliances</t>
  </si>
  <si>
    <t>12.4.2</t>
  </si>
  <si>
    <t>Medical insurance premiums</t>
  </si>
  <si>
    <t>12.4.3</t>
  </si>
  <si>
    <t>Vehicle insurance including boat insurance</t>
  </si>
  <si>
    <t>12.4.3.1</t>
  </si>
  <si>
    <t>Vehicle insurance</t>
  </si>
  <si>
    <t>12.4.3.2</t>
  </si>
  <si>
    <t>Boat insurance (not home)</t>
  </si>
  <si>
    <t>12.4.4</t>
  </si>
  <si>
    <t>Non-package holiday, other travel insurance</t>
  </si>
  <si>
    <t>These are one off costs and would not factor into ongoing affordability</t>
  </si>
  <si>
    <t>12.5.1</t>
  </si>
  <si>
    <t>Moving house</t>
  </si>
  <si>
    <t>12.5.1.1</t>
  </si>
  <si>
    <t>Moving and storage of furniture</t>
  </si>
  <si>
    <t>12.5.1.2</t>
  </si>
  <si>
    <t>Property transaction - purchase and sale</t>
  </si>
  <si>
    <t>12.5.1.3</t>
  </si>
  <si>
    <t>Property transaction - sale only</t>
  </si>
  <si>
    <t>12.5.1.4</t>
  </si>
  <si>
    <t>Property transaction - purchase only</t>
  </si>
  <si>
    <t>12.5.1.5</t>
  </si>
  <si>
    <t>Property transaction - other payments</t>
  </si>
  <si>
    <t>12.5.2</t>
  </si>
  <si>
    <t>Bank, building society, post office, credit card charges</t>
  </si>
  <si>
    <t>This would be covered in the commitments section - proven by credit Search</t>
  </si>
  <si>
    <t>12.5.2.1</t>
  </si>
  <si>
    <t>Bank and building society charges</t>
  </si>
  <si>
    <t>12.5.2.2</t>
  </si>
  <si>
    <t>Bank and Post Office counter charges</t>
  </si>
  <si>
    <t>12.5.2.3</t>
  </si>
  <si>
    <t>Annual standing charge for credit cards</t>
  </si>
  <si>
    <t>12.5.2.4</t>
  </si>
  <si>
    <t>Commission travellers' cheques and currency</t>
  </si>
  <si>
    <t>12.5.3</t>
  </si>
  <si>
    <t>Other services and professional fees</t>
  </si>
  <si>
    <t>12.5.3.1</t>
  </si>
  <si>
    <t>Other professional fees including court fines</t>
  </si>
  <si>
    <t>12.5.3.2</t>
  </si>
  <si>
    <t>Legal fees</t>
  </si>
  <si>
    <t>12.5.3.3</t>
  </si>
  <si>
    <t>Funeral expenses</t>
  </si>
  <si>
    <t>12.5.3.4</t>
  </si>
  <si>
    <t>TU and professional organisations</t>
  </si>
  <si>
    <t>12.5.3.5</t>
  </si>
  <si>
    <t>Other payments for services eg photocopying</t>
  </si>
  <si>
    <t>Council tax would be captured - customers quotation will be used</t>
  </si>
  <si>
    <t>All other items considered non essential or not applicable</t>
  </si>
  <si>
    <t>Housing: mortgage interest payments, council tax etc</t>
  </si>
  <si>
    <t>13.1.1</t>
  </si>
  <si>
    <t>Mortgage interest payments</t>
  </si>
  <si>
    <t>13.1.2</t>
  </si>
  <si>
    <t>Mortgage protection premiums</t>
  </si>
  <si>
    <t>13.1.3</t>
  </si>
  <si>
    <t>Council tax, domestic rates</t>
  </si>
  <si>
    <t>13.1.4</t>
  </si>
  <si>
    <t>Council tax, mortgage (second dwelling)</t>
  </si>
  <si>
    <t>Licences, fines and transfers</t>
  </si>
  <si>
    <t>Stamp Duty - one off, motoring fines minimal, road tax should be captured in vehicle running costs</t>
  </si>
  <si>
    <t>13.2.1</t>
  </si>
  <si>
    <t>Stamp duty, licences and fines (excluding motoring fines)</t>
  </si>
  <si>
    <t>13.2.2</t>
  </si>
  <si>
    <t>Motoring fines</t>
  </si>
  <si>
    <t>13.2.3</t>
  </si>
  <si>
    <t>Motor vehicle road taxation payments less refunds</t>
  </si>
  <si>
    <t>Holiday spending</t>
  </si>
  <si>
    <t>13.3.1</t>
  </si>
  <si>
    <t>Money spent abroad</t>
  </si>
  <si>
    <t>13.3.2</t>
  </si>
  <si>
    <t>Duty free goods bought in UK</t>
  </si>
  <si>
    <t>Other expenditure items (continued)</t>
  </si>
  <si>
    <t>Money transfers and credit</t>
  </si>
  <si>
    <t>13.4.1</t>
  </si>
  <si>
    <t>Money, cash gifts given to children</t>
  </si>
  <si>
    <t>13.4.1.1</t>
  </si>
  <si>
    <t>Money given to children for specific purposes</t>
  </si>
  <si>
    <t>13.4.1.2</t>
  </si>
  <si>
    <t>Cash gifts to children (no specific purpose)</t>
  </si>
  <si>
    <t>13.4.2</t>
  </si>
  <si>
    <t>Cash gifts and donations</t>
  </si>
  <si>
    <t>13.4.2.1</t>
  </si>
  <si>
    <t>Money/presents given to those outside the household</t>
  </si>
  <si>
    <t>13.4.2.2</t>
  </si>
  <si>
    <t>Charitable donations and subscriptions</t>
  </si>
  <si>
    <t>13.4.2.3</t>
  </si>
  <si>
    <t>Money sent abroad</t>
  </si>
  <si>
    <t>13.4.2.4</t>
  </si>
  <si>
    <t>Maintenance allowance expenditure</t>
  </si>
  <si>
    <t>13.4.3</t>
  </si>
  <si>
    <t>Club instalment payments (child) and interest on credit cards</t>
  </si>
  <si>
    <t>13.4.3.1</t>
  </si>
  <si>
    <t>Club instalment payment</t>
  </si>
  <si>
    <t>13.4.3.2</t>
  </si>
  <si>
    <t>Interest on credit cards</t>
  </si>
  <si>
    <t>All not essential/ not applicable or captured automastically in income (ie the Tax / Ni contributions, Pensions etc - these may need to be considered for Self Employed)</t>
  </si>
  <si>
    <t>Life assurance, contributions to pension funds</t>
  </si>
  <si>
    <t>If Essential should be captured in Other category ( e.g Interest Only repayment vehicles) or Essential Insurances</t>
  </si>
  <si>
    <t>14.1.1</t>
  </si>
  <si>
    <t>Life assurance premiums eg mortgage endowment policies</t>
  </si>
  <si>
    <t>14.1.2</t>
  </si>
  <si>
    <t>Contributions to pension and superannuation funds etc</t>
  </si>
  <si>
    <t>14.1.3</t>
  </si>
  <si>
    <t>Personal pensions</t>
  </si>
  <si>
    <t>Other insurance including friendly societies</t>
  </si>
  <si>
    <t>Income tax, payments less refunds</t>
  </si>
  <si>
    <t>As Net monthly Salary is used in calculation these will be excluded</t>
  </si>
  <si>
    <t>14.3.1</t>
  </si>
  <si>
    <t>Income tax paid by employees under PAYE</t>
  </si>
  <si>
    <t>14.3.2</t>
  </si>
  <si>
    <t>Income tax paid direct eg by retired or unoccupied persons</t>
  </si>
  <si>
    <t>14.3.3</t>
  </si>
  <si>
    <t>Income tax paid direct by self-employed</t>
  </si>
  <si>
    <t>14.3.4</t>
  </si>
  <si>
    <t>Income tax deducted at source from income under covenant from</t>
  </si>
  <si>
    <t>investments or from annuities and pensions</t>
  </si>
  <si>
    <t>14.3.5</t>
  </si>
  <si>
    <t>Income tax on bonus earnings</t>
  </si>
  <si>
    <t>14.3.6</t>
  </si>
  <si>
    <t>Income tax refunds under PAYE</t>
  </si>
  <si>
    <t>14.3.7</t>
  </si>
  <si>
    <t>Income tax refunds other than PAYE</t>
  </si>
  <si>
    <t>National insurance contribution</t>
  </si>
  <si>
    <t>14.4.1</t>
  </si>
  <si>
    <t>NI contributions paid by employees</t>
  </si>
  <si>
    <t>14.4.2</t>
  </si>
  <si>
    <t>NI contributions paid by non-employees</t>
  </si>
  <si>
    <t>Purchase or alteration of dwellings (contracted out), mortgages</t>
  </si>
  <si>
    <t>Mortgage would capture</t>
  </si>
  <si>
    <t>14.5.1</t>
  </si>
  <si>
    <t>Outright purchase of houses, flats etc including deposits</t>
  </si>
  <si>
    <t>14.5.2</t>
  </si>
  <si>
    <t>Capital repayment of mortgage</t>
  </si>
  <si>
    <t>14.5.3</t>
  </si>
  <si>
    <t>Central heating installation</t>
  </si>
  <si>
    <t>14.5.4</t>
  </si>
  <si>
    <t>DIY improvements: Double glazing, kitchen units, sheds etc</t>
  </si>
  <si>
    <t>14.5.5</t>
  </si>
  <si>
    <t>Home improvements - contracted out</t>
  </si>
  <si>
    <t>14.5.6</t>
  </si>
  <si>
    <t>Bathroom fittings</t>
  </si>
  <si>
    <t>14.5.7</t>
  </si>
  <si>
    <t>Purchase of materials for Capital Improvements</t>
  </si>
  <si>
    <t>14.5.8</t>
  </si>
  <si>
    <t>Purchase of second dwelling</t>
  </si>
  <si>
    <t>Savings and investments</t>
  </si>
  <si>
    <t>Non -Essential</t>
  </si>
  <si>
    <t>14.6.1</t>
  </si>
  <si>
    <t>Savings, investments (excluding AVCs)</t>
  </si>
  <si>
    <t>14.6.2</t>
  </si>
  <si>
    <t>Additional Voluntary Contributions</t>
  </si>
  <si>
    <t>14.6.3</t>
  </si>
  <si>
    <t>Food stamps, other food related expenditure</t>
  </si>
  <si>
    <t>Pay off loan to clear other debt</t>
  </si>
  <si>
    <t>Would be captured in commitments</t>
  </si>
  <si>
    <r>
      <t>Windfall receipts from gambling etc</t>
    </r>
    <r>
      <rPr>
        <vertAlign val="superscript"/>
        <sz val="8"/>
        <rFont val="Arial"/>
        <family val="2"/>
      </rPr>
      <t>4</t>
    </r>
  </si>
  <si>
    <t>4 Expressed as an income figure as opposed to an expenditure figure.</t>
  </si>
  <si>
    <t>Affordability model - Version control</t>
  </si>
  <si>
    <t>Version no</t>
  </si>
  <si>
    <t>Date</t>
  </si>
  <si>
    <t>Changes</t>
  </si>
  <si>
    <t>Actioned by</t>
  </si>
  <si>
    <t>Notes / Authorised by</t>
  </si>
  <si>
    <t>26042014</t>
  </si>
  <si>
    <t>Initial model</t>
  </si>
  <si>
    <t>30062014</t>
  </si>
  <si>
    <t>Amended for minor formal error in ONS calculation</t>
  </si>
  <si>
    <t>No risk as not used for underwriting</t>
  </si>
  <si>
    <t>01082014</t>
  </si>
  <si>
    <t>Amended to put in 4.5/4 times income caps and also ensures set to 2+ if more than one income</t>
  </si>
  <si>
    <t>Warning message(s) now shows</t>
  </si>
  <si>
    <t>2.5</t>
  </si>
  <si>
    <t>08122015</t>
  </si>
  <si>
    <t>ONS statistics updated to latest version</t>
  </si>
  <si>
    <t>Model changed to show mortgage required rather than deposit</t>
  </si>
  <si>
    <t>4.5/4 times income caps refined to take account of committed expenditure etc</t>
  </si>
  <si>
    <t>Warning if interest only loan exceeds 60%</t>
  </si>
  <si>
    <t>4th column added for potential joint guarantor</t>
  </si>
  <si>
    <t>2.6</t>
  </si>
  <si>
    <t>Mortgage scheme LTV calculation amended following v2.5 amendment</t>
  </si>
  <si>
    <t>Max term extended to 35 years, VBS mortgage products updated, ONS table updated, over 4 times income warning removed, Income multiple calculated</t>
  </si>
  <si>
    <t>Revised input sheet to allow notes, prepared by and date for users. Also make income excess etc clearer for underwriters. Updated ONS table (2016)</t>
  </si>
  <si>
    <t>New Risk Vs0.1 - 0.6</t>
  </si>
  <si>
    <r>
      <t xml:space="preserve">Introduced field to capture Credit Score for use in future analysis 
</t>
    </r>
    <r>
      <rPr>
        <b/>
        <sz val="11"/>
        <color theme="1"/>
        <rFont val="Calibri"/>
        <family val="2"/>
        <scheme val="minor"/>
      </rPr>
      <t>Income</t>
    </r>
    <r>
      <rPr>
        <sz val="11"/>
        <color theme="1"/>
        <rFont val="Calibri"/>
        <family val="2"/>
        <scheme val="minor"/>
      </rPr>
      <t xml:space="preserve"> -  Removed the Guaranteed O/T/ Bonus income category as not sure that these are ever guaranteed
</t>
    </r>
    <r>
      <rPr>
        <b/>
        <sz val="11"/>
        <color theme="1"/>
        <rFont val="Calibri"/>
        <family val="2"/>
        <scheme val="minor"/>
      </rPr>
      <t>Committed Expenditure</t>
    </r>
    <r>
      <rPr>
        <sz val="11"/>
        <color theme="1"/>
        <rFont val="Calibri"/>
        <family val="2"/>
        <scheme val="minor"/>
      </rPr>
      <t xml:space="preserve"> - added in category fotr non self financing mortgages/rent 
                                                   - added in a total Credit Card Balance category - (to use the higher of 3% total balances or customer repayment amount)
</t>
    </r>
    <r>
      <rPr>
        <b/>
        <sz val="11"/>
        <color theme="1"/>
        <rFont val="Calibri"/>
        <family val="2"/>
        <scheme val="minor"/>
      </rPr>
      <t>Regular Expenditure</t>
    </r>
    <r>
      <rPr>
        <sz val="11"/>
        <color theme="1"/>
        <rFont val="Calibri"/>
        <family val="2"/>
        <scheme val="minor"/>
      </rPr>
      <t xml:space="preserve"> - combined categories and aligned to ONS data categories, assessment carried out to apportion the amounts considerd to be basic/ essential and the higher of cut declared or ONS is then used in the calculation - with an override available where the customer declared amount is proven to be lower (if this is required).
-Basic Recreation category removed as this is now captured within the surplus income amount (along with other ad hoc ONS categories which do not fit well elsewhere).
Calculation now uses the higher of the cust declared or ONS calculated to determine the mortgage amount that we would lend.
- Updated Income Multiples to align to latest version of 4.5x
- Updated to SVR +3% stress rate and
- updated SVR rate to 4.95 in line with latest versuion of calculator in use (V2.11)
</t>
    </r>
  </si>
  <si>
    <t>Sam B</t>
  </si>
  <si>
    <t>v0.7</t>
  </si>
  <si>
    <t>Following walkthrough with Andrew - amended formular corrections and removed calculations no longer in use</t>
  </si>
  <si>
    <t>V0.8</t>
  </si>
  <si>
    <t>Added in a calculator to work out the stressed payments for any non self financing mortgages and to calculate the net Basic and Additional incomes.</t>
  </si>
  <si>
    <t>v0.9</t>
  </si>
  <si>
    <t>Added in u/w validation worksheets and updated income calculator following walkthrough with Jessica T</t>
  </si>
  <si>
    <t>v0.10</t>
  </si>
  <si>
    <t xml:space="preserve">Updates to u/w sheets and correction of decision ( where loan amount =max allowed the decision was declining - have set so that decision is based on loan amount requested being less than or = to which has corrected the error). Have also removed the cell notes on the override as they get in the way. Also updated table of proofs - no longer need p60 as standard only if basic fluctuates or add income used. Aslo YTD must be greater than 3months worth of salary not at least 3months </t>
  </si>
  <si>
    <t>v0.11</t>
  </si>
  <si>
    <t>Updated decision from Accept, Decline, Refer to Pass, Fail and Marginal Pass (was refer), Added in I/O retirement category which allows for assessment to be made purely on I/O given the repayyment vehicle is sale of property, also removed other category and included I/O costs in other unsecure commitments</t>
  </si>
  <si>
    <t>v0.12</t>
  </si>
  <si>
    <t>June</t>
  </si>
  <si>
    <t>Increase amount of non std income used to 50% from current 30%
Amended split gross income input cell into gross basic and gross additional - to apply the 50% rule to gross
Included an approximation calculation for the split of Net salary into basic and other based on the proportions in gross
Where I/O amended the calculation of  documentary evidencing  levels to apply to the i/o affordability 
removed the 'refer' on i/o calculations which do not pass affordability for C&amp;I
Amended proof docs for S/E to 2 tax retn and overviews plus 1 year accts - in line with Core Criteria</t>
  </si>
  <si>
    <t>Sent to Andrew Entwisle and Finance to review</t>
  </si>
  <si>
    <t>v1.0</t>
  </si>
  <si>
    <t>Updated to Version 1.0 - as calculations are in line with Core Criteria version 1 . Have increase mortgage term to 40 years and updated the Mort repay tab ( by pulling the formulars down). Updated ONS to the 2017/18 Y/E dat. formatted the data entry headings / formatting inline with feedback to create a broker view and an internal view</t>
  </si>
  <si>
    <t>AE Approved</t>
  </si>
  <si>
    <t>v1.1</t>
  </si>
  <si>
    <t>corrections made to link net additional income to 50% rule from 30% hard coded, updated I/O max loan to cap at 4.49% in line with C&amp;I and amended positioning of customer signature boxes and removed input for 2nd household inorder to encourage 2 separate calculators - replaced UW sheets 2 and 4 with ones replaced from Jess to aid u/w assessment process and data capture. amended refernce to ONS to household composion and added in a no of applicants field, removed max term warning from RIO mortgages</t>
  </si>
  <si>
    <t>v2.0</t>
  </si>
  <si>
    <t>Updated to Version 2.0 following approval</t>
  </si>
  <si>
    <t>v2.1</t>
  </si>
  <si>
    <t xml:space="preserve">error found in other (Net) income tab have corrected, and Broker view to have a separate print area so the full calculator prints off, also added in a gross other income field to capture benefits / investment income. </t>
  </si>
  <si>
    <t>v3.0</t>
  </si>
  <si>
    <t>Updated to V3.0 following approval</t>
  </si>
  <si>
    <t>V3.1</t>
  </si>
  <si>
    <t>Uodated for SVR change</t>
  </si>
  <si>
    <t>Andrew E</t>
  </si>
  <si>
    <t>V3.2</t>
  </si>
  <si>
    <t>Correction of calculation formula error resulting from the SVR rate change (caused by mismatch in number formats)
Alignment of the Adviser and U/W calculator tabs and Version control</t>
  </si>
  <si>
    <t>AJE Approved that the changes to the SVR have been actioned correctly  in the model</t>
  </si>
  <si>
    <t>V3.3</t>
  </si>
  <si>
    <t>Update to the links in the Underwriter assessment tabs</t>
  </si>
  <si>
    <t>Jessica T</t>
  </si>
  <si>
    <t>v4.0</t>
  </si>
  <si>
    <t>Updated to V4.0 following approval</t>
  </si>
  <si>
    <t>v5.0</t>
  </si>
  <si>
    <t>corrected error on cells f-j 22 (Total Gross income calculation) &amp; updated standard wording of customer declaration to include reference to reducing spending if required.- Approved AE</t>
  </si>
  <si>
    <t>v6.0</t>
  </si>
  <si>
    <t>Updated the Max LTI from 4.49% to 5% as per agreement at Nov Board (changed on VBS criteria tab - income multiple cap for max loan amount)</t>
  </si>
  <si>
    <t>change in line with  Board approval</t>
  </si>
  <si>
    <t>Updated the table to include the evidence requirements for Retired applicnts and added a refer decisiojn code for the high LTI cases requiring underwriter approval in line with policy where loan req is &gt;90% of max loan allowed, amended the calculation for Loan requested as % of max loan affordable to exclude the cap from the max loan affordable</t>
  </si>
  <si>
    <t>updated to V7.0 followoing AE Approval</t>
  </si>
  <si>
    <t xml:space="preserve">Updated the ONS figures from table A23 to 2018 year end data </t>
  </si>
  <si>
    <t>Sam B, KM tested</t>
  </si>
  <si>
    <t>reduced stress rate from SVR +3% to SVR +2% in line with the Board paper which was agreed at March Board,also removed % from the SVR and Stress rate (along with associated formula) as the mort repay table was not recognising,  and removed autopopulation from the date field.</t>
  </si>
  <si>
    <t>Sam B, KM Tested</t>
  </si>
  <si>
    <t>Identified error in formula for mort repay table for any loans over 30 years. - impacted by the removal of % on rates, up to yr30 were hardcoded numbers - have amended back to formular consistent with the 31+ years</t>
  </si>
  <si>
    <t>v8.0</t>
  </si>
  <si>
    <t>Testing completed, updated documentatry evidence table on calculator to align to core criteria (to 2 months payslips- previously 3,  for Level 3)  - SB Approved version no. updated and publishing requested</t>
  </si>
  <si>
    <t>V8.1</t>
  </si>
  <si>
    <t>removal of the &gt;4.5x LTI on i/o mortgages as no discretion is permitted (outside of Board) and this could potentially be misleading</t>
  </si>
  <si>
    <t>V9.0</t>
  </si>
  <si>
    <t>Testing completed, no concerns - SB approved version no. updated and publishing requested</t>
  </si>
  <si>
    <t>V10.0</t>
  </si>
  <si>
    <t>Rebranded ready for external brand launch plus added a warning message that the funcionality will be impaired if used on pre- 2010 versions  (following feedback from Broker)</t>
  </si>
  <si>
    <t>Colour / Font changes only no approval necessary</t>
  </si>
  <si>
    <t>Version control now tracked through Creditco updates</t>
  </si>
  <si>
    <t>UW</t>
  </si>
  <si>
    <t>General1</t>
  </si>
  <si>
    <t>General2</t>
  </si>
  <si>
    <t>Approval Level</t>
  </si>
  <si>
    <t>Affordability Level</t>
  </si>
  <si>
    <t>Approver</t>
  </si>
  <si>
    <t>Deposit</t>
  </si>
  <si>
    <t>Loan Purpose</t>
  </si>
  <si>
    <t>Karen</t>
  </si>
  <si>
    <t>N/A - by Underwriter</t>
  </si>
  <si>
    <t>Equity in property</t>
  </si>
  <si>
    <t>Capital &amp; Repayment</t>
  </si>
  <si>
    <t>Purchase</t>
  </si>
  <si>
    <t>Claire</t>
  </si>
  <si>
    <t>Barrie</t>
  </si>
  <si>
    <t>Interest-only</t>
  </si>
  <si>
    <t>Savings</t>
  </si>
  <si>
    <t>Like for like Remo</t>
  </si>
  <si>
    <t>Louise</t>
  </si>
  <si>
    <t>N/A</t>
  </si>
  <si>
    <t>Ian</t>
  </si>
  <si>
    <t>HTB ISA</t>
  </si>
  <si>
    <t>Remo + Cap raising</t>
  </si>
  <si>
    <t>Dan</t>
  </si>
  <si>
    <t>2 x Level 3</t>
  </si>
  <si>
    <t>Steve</t>
  </si>
  <si>
    <t>Gifted Deposit</t>
  </si>
  <si>
    <t>Porting</t>
  </si>
  <si>
    <t>Creditco</t>
  </si>
  <si>
    <t>Barrie/Ian</t>
  </si>
  <si>
    <t>Combination (see notes)</t>
  </si>
  <si>
    <t>Porting + F/A</t>
  </si>
  <si>
    <t>Barrie/Steve</t>
  </si>
  <si>
    <t>Other (see notes)</t>
  </si>
  <si>
    <t>Further Advance</t>
  </si>
  <si>
    <t>Ian/Steve</t>
  </si>
  <si>
    <t>"Other" Total</t>
  </si>
  <si>
    <t>4.75x income</t>
  </si>
  <si>
    <t>Max 'capped' loan standard 4.75x</t>
  </si>
  <si>
    <t>Mandate Level - Income Multiple</t>
  </si>
  <si>
    <t>Mandate Level - Loan</t>
  </si>
  <si>
    <t xml:space="preserve">Mandate Level </t>
  </si>
  <si>
    <t>Product Rate+2%</t>
  </si>
  <si>
    <t>Mortgage Affordability Calculator - 22.0 - November 2025</t>
  </si>
  <si>
    <t>(Max: 40 yrs C&amp;I, 30 yrs I/O P&amp;P)</t>
  </si>
  <si>
    <t>Council Tax (for subject property)</t>
  </si>
  <si>
    <t xml:space="preserve">     Current rate of council tax paid on the property to be mortgaged - the monthly amount only needs to be entered once </t>
  </si>
  <si>
    <t>Monthly Council Tax (for subject property)</t>
  </si>
  <si>
    <r>
      <t xml:space="preserve">Affordability Outcome </t>
    </r>
    <r>
      <rPr>
        <sz val="9"/>
        <color rgb="FFB81178"/>
        <rFont val="Gotham"/>
      </rPr>
      <t>(Subject to Underwriting)</t>
    </r>
  </si>
  <si>
    <r>
      <t xml:space="preserve">
</t>
    </r>
    <r>
      <rPr>
        <b/>
        <sz val="12"/>
        <color rgb="FF009FA0"/>
        <rFont val="Gotham"/>
      </rPr>
      <t>Income multiple</t>
    </r>
    <r>
      <rPr>
        <sz val="12"/>
        <color rgb="FF009FA0"/>
        <rFont val="Gotham"/>
      </rPr>
      <t xml:space="preserve"> based on mortgage required (for info)</t>
    </r>
  </si>
  <si>
    <r>
      <t xml:space="preserve">Essential Travel Costs </t>
    </r>
    <r>
      <rPr>
        <i/>
        <sz val="12"/>
        <color rgb="FF009FA0"/>
        <rFont val="Gotham"/>
      </rPr>
      <t>(exclude car insurance)</t>
    </r>
  </si>
  <si>
    <r>
      <t xml:space="preserve">Essential Insurances </t>
    </r>
    <r>
      <rPr>
        <i/>
        <sz val="12"/>
        <color rgb="FF009FA0"/>
        <rFont val="Gotham"/>
      </rPr>
      <t>(include car insurance if applicable)</t>
    </r>
  </si>
  <si>
    <r>
      <t>Childcare</t>
    </r>
    <r>
      <rPr>
        <i/>
        <sz val="12"/>
        <color rgb="FF009FA0"/>
        <rFont val="Gotham"/>
      </rPr>
      <t xml:space="preserve"> (include School Fees if applicable)</t>
    </r>
  </si>
  <si>
    <r>
      <t xml:space="preserve">Term required (years) </t>
    </r>
    <r>
      <rPr>
        <sz val="12"/>
        <color rgb="FF009FA0"/>
        <rFont val="Gotham"/>
      </rPr>
      <t>(Max: 40 yrs C&amp;I, 30 yrs I/O)</t>
    </r>
  </si>
  <si>
    <t>Included below</t>
  </si>
  <si>
    <r>
      <rPr>
        <b/>
        <sz val="10"/>
        <color rgb="FFB81178"/>
        <rFont val="Gotham"/>
      </rPr>
      <t>Annual</t>
    </r>
    <r>
      <rPr>
        <sz val="10"/>
        <color rgb="FFB81178"/>
        <rFont val="Gotham"/>
      </rPr>
      <t xml:space="preserve"> Gross Income</t>
    </r>
  </si>
  <si>
    <r>
      <rPr>
        <b/>
        <sz val="10"/>
        <color rgb="FFB81178"/>
        <rFont val="Gotham"/>
      </rPr>
      <t>Reliable Annual</t>
    </r>
    <r>
      <rPr>
        <sz val="10"/>
        <color rgb="FFB81178"/>
        <rFont val="Gotham"/>
      </rPr>
      <t xml:space="preserve"> Overtime / Bonus</t>
    </r>
  </si>
  <si>
    <r>
      <t xml:space="preserve">Average </t>
    </r>
    <r>
      <rPr>
        <b/>
        <sz val="10"/>
        <color rgb="FFB81178"/>
        <rFont val="Gotham"/>
      </rPr>
      <t>Net Monthly</t>
    </r>
    <r>
      <rPr>
        <sz val="10"/>
        <color rgb="FFB81178"/>
        <rFont val="Gotham"/>
      </rPr>
      <t xml:space="preserve"> Income (Inclusive of bonus)</t>
    </r>
  </si>
  <si>
    <r>
      <t xml:space="preserve">Land &amp; Property Income </t>
    </r>
    <r>
      <rPr>
        <b/>
        <sz val="10"/>
        <color rgb="FFB81178"/>
        <rFont val="Gotham"/>
      </rPr>
      <t>(Gross)</t>
    </r>
  </si>
  <si>
    <r>
      <t xml:space="preserve">Land &amp; Property Income </t>
    </r>
    <r>
      <rPr>
        <b/>
        <sz val="10"/>
        <color rgb="FFB81178"/>
        <rFont val="Gotham"/>
      </rPr>
      <t>(Net)</t>
    </r>
  </si>
  <si>
    <r>
      <rPr>
        <b/>
        <sz val="9"/>
        <color rgb="FFB81178"/>
        <rFont val="Gotham"/>
      </rPr>
      <t>Employed</t>
    </r>
    <r>
      <rPr>
        <sz val="9"/>
        <color rgb="FFB81178"/>
        <rFont val="Gotham"/>
      </rPr>
      <t xml:space="preserve"> - Basic Pay only </t>
    </r>
    <r>
      <rPr>
        <b/>
        <sz val="9"/>
        <color rgb="FFB81178"/>
        <rFont val="Gotham"/>
      </rPr>
      <t>Self Employed -</t>
    </r>
    <r>
      <rPr>
        <sz val="9"/>
        <color rgb="FFB81178"/>
        <rFont val="Gotham"/>
      </rPr>
      <t xml:space="preserve"> Dividends or Net Profit (2yr Avg) plus salary - </t>
    </r>
    <r>
      <rPr>
        <b/>
        <sz val="9"/>
        <color rgb="FFB81178"/>
        <rFont val="Gotham"/>
      </rPr>
      <t>Retired</t>
    </r>
    <r>
      <rPr>
        <sz val="9"/>
        <color rgb="FFB81178"/>
        <rFont val="Gotham"/>
      </rPr>
      <t xml:space="preserve"> - Annual Gross Pension Income</t>
    </r>
  </si>
  <si>
    <r>
      <rPr>
        <b/>
        <sz val="9"/>
        <color rgb="FFB81178"/>
        <rFont val="Gotham"/>
      </rPr>
      <t>Employed/Retired</t>
    </r>
    <r>
      <rPr>
        <sz val="9"/>
        <color rgb="FFB81178"/>
        <rFont val="Gotham"/>
      </rPr>
      <t xml:space="preserve"> - </t>
    </r>
    <r>
      <rPr>
        <u/>
        <sz val="9"/>
        <color rgb="FFB81178"/>
        <rFont val="Gotham"/>
      </rPr>
      <t>Monthly</t>
    </r>
    <r>
      <rPr>
        <sz val="9"/>
        <color rgb="FFB81178"/>
        <rFont val="Gotham"/>
      </rPr>
      <t xml:space="preserve"> total income after tax (including bonus/overtime etc) </t>
    </r>
    <r>
      <rPr>
        <b/>
        <sz val="9"/>
        <color rgb="FFB81178"/>
        <rFont val="Gotham"/>
      </rPr>
      <t xml:space="preserve"> Self-Employed -</t>
    </r>
    <r>
      <rPr>
        <sz val="9"/>
        <color rgb="FFB81178"/>
        <rFont val="Gotham"/>
      </rPr>
      <t xml:space="preserve"> Declared Gross income after tax</t>
    </r>
  </si>
  <si>
    <r>
      <t>Housing(net)</t>
    </r>
    <r>
      <rPr>
        <vertAlign val="superscript"/>
        <sz val="9"/>
        <color theme="0"/>
        <rFont val="Arial"/>
        <family val="2"/>
      </rPr>
      <t>2</t>
    </r>
    <r>
      <rPr>
        <sz val="9"/>
        <color theme="0"/>
        <rFont val="Arial"/>
        <family val="2"/>
      </rPr>
      <t>, fuel &amp; power</t>
    </r>
  </si>
  <si>
    <t>Food / Groceries</t>
  </si>
  <si>
    <t>70% for insurances (B&amp;C)c25%, (Vehicle )c45% included in Essential Insurances and 30% for Personal Care -Toiletries included in Food / Groceries</t>
  </si>
  <si>
    <t xml:space="preserve">50% proportion - in case of financial hardship expectation to reduce spend. Approx 50% of this cost is cigarettes/tobacco which for smokers could potentially be more difficult to reduce  </t>
  </si>
  <si>
    <t>Clothing and Footwear - remaining 50% added to "Other"</t>
  </si>
  <si>
    <t>50% for cleaning / detergents included in Food, groceries, toiletries and cleaning products, remaining 50% added to "Other".</t>
  </si>
  <si>
    <t>No data reported</t>
  </si>
  <si>
    <t>Added to "Other"</t>
  </si>
  <si>
    <t xml:space="preserve">Essential </t>
  </si>
  <si>
    <t>Essential &amp; Basic</t>
  </si>
  <si>
    <t xml:space="preserve">Essential or Basic Standard of Living </t>
  </si>
  <si>
    <t>Affordability Calculator Category</t>
  </si>
  <si>
    <t>% to use as minimum</t>
  </si>
  <si>
    <t>% Proportion of used</t>
  </si>
  <si>
    <t>Clothing &amp; Footwear</t>
  </si>
  <si>
    <t>Include in Net Income Buffer</t>
  </si>
  <si>
    <t>No data</t>
  </si>
  <si>
    <t>25% overall for cleaning products</t>
  </si>
  <si>
    <t>25% for the remainder</t>
  </si>
  <si>
    <t>Telephone/TV/Satellite</t>
  </si>
  <si>
    <t>Toiletries</t>
  </si>
  <si>
    <t>Includes rental payments in the overall figure</t>
  </si>
  <si>
    <t>Could reduce if needed but unlikely to stop completely</t>
  </si>
  <si>
    <t>Includes cleaning products, appliances and furniture - could reduce but unlikely to stop completely</t>
  </si>
  <si>
    <t>Vehicle running costs, and other travel. None essential travel can be stopped.</t>
  </si>
  <si>
    <t>Mobile phones, Landline and Internet</t>
  </si>
  <si>
    <t>TV/Satellite - excluded holidays and other activities on the basis that Net Income Buffer can cover to an extent and could be stopped if needed.</t>
  </si>
  <si>
    <t>Included in Other to cover takeaways, and occasional use of restaurants and hotels, but can be stopped if needed.</t>
  </si>
  <si>
    <t>Car, Buildings &amp; Contents</t>
  </si>
  <si>
    <t>This includes items that don't need to be bought and one off costs e.g. moving costs, so only ongoing costs included.</t>
  </si>
  <si>
    <t>Increasing and ongoing cost</t>
  </si>
  <si>
    <t>Payments</t>
  </si>
  <si>
    <r>
      <t xml:space="preserve">1 month* (or 1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</si>
  <si>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r>
      <t xml:space="preserve">2 months* (or 2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</si>
  <si>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r>
      <t xml:space="preserve">3 months* (or 3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</si>
  <si>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t>Gross Amount declared minus tax</t>
  </si>
  <si>
    <r>
      <t xml:space="preserve">Employed Only - </t>
    </r>
    <r>
      <rPr>
        <sz val="9"/>
        <color rgb="FFB81178"/>
        <rFont val="Gotham"/>
      </rPr>
      <t>Annual value of bonus, overtime, car allowance or other enhancements received</t>
    </r>
  </si>
  <si>
    <t>Interest Only Pay Rate for Part&amp;Part</t>
  </si>
  <si>
    <t>BTL Property</t>
  </si>
  <si>
    <t>Single Residential Units (personal basic rate tax payer or Ltd Co)</t>
  </si>
  <si>
    <t>Single Residential Units (personal higher rate tax payer)</t>
  </si>
  <si>
    <t>Holiday Let (personal basic rate tax payer or Ltd Co)</t>
  </si>
  <si>
    <t>Holiday Let (Higher Rate Tax payer)</t>
  </si>
  <si>
    <t>HMOs (personal basic rate tax payer or Ltd Co)</t>
  </si>
  <si>
    <t>HMOs (higher rate tax payer)</t>
  </si>
  <si>
    <t>Property / Taxation Type</t>
  </si>
  <si>
    <t>ICR THRESHOLD</t>
  </si>
  <si>
    <t>Surplus / Shortfall PCM</t>
  </si>
  <si>
    <t>Stressed Payment for Threshold</t>
  </si>
  <si>
    <t>Total Monthly Surplus/ Shortfall</t>
  </si>
  <si>
    <t>Instructions</t>
  </si>
  <si>
    <t>Total Mortgage Debt</t>
  </si>
  <si>
    <t>Input the outstanding balance of the mortgage, or the balance that the mortgage will be on completion (if capital raise)</t>
  </si>
  <si>
    <t>Stressed Interest Rate</t>
  </si>
  <si>
    <t>Input annual rent received for the property</t>
  </si>
  <si>
    <t>Automatically calculates the stressed mortgage payment - do not use</t>
  </si>
  <si>
    <t>Automatically calculates the ICR - do not use</t>
  </si>
  <si>
    <t>Input the ICR % reference against the Property / Taxation Type Key</t>
  </si>
  <si>
    <t>Automatically calculates the stressed mortgage payment to achieve the threshold- do not use</t>
  </si>
  <si>
    <t>Automatically calculates the surplus or shortfall for the property</t>
  </si>
  <si>
    <t>Total Monthly Suprlus / Shortall</t>
  </si>
  <si>
    <t>Provides the shortfall or surplus figure that can be used as a net monthly figure for income or expenditure</t>
  </si>
  <si>
    <t>TYPE</t>
  </si>
  <si>
    <t>Property / Taxation Type Key</t>
  </si>
  <si>
    <t>Input current or product rate on completion (if changing) +2% or 5.5% whcihever is higher.  If 5 year fixed rate is being taken out on completion input product rate.</t>
  </si>
  <si>
    <t>No. of adults residing in property (Only include applicants and financially dependent non-applicants)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</si>
</sst>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5" formatCode="&quot;£&quot;#,##0;\-&quot;£&quot;#,##0"/>
    <numFmt numFmtId="6" formatCode="&quot;£&quot;#,##0;[Red]\-&quot;£&quot;#,##0"/>
    <numFmt numFmtId="7" formatCode="&quot;£&quot;#,##0.00;\-&quot;£&quot;#,##0.00"/>
    <numFmt numFmtId="8" formatCode="&quot;£&quot;#,##0.00;[Red]\-&quot;£&quot;#,##0.00"/>
    <numFmt numFmtId="44" formatCode="_-&quot;£&quot;* #,##0.00_-;\-&quot;£&quot;* #,##0.00_-;_-&quot;£&quot;* &quot;-&quot;??_-;_-@_-"/>
    <numFmt numFmtId="43" formatCode="_-* #,##0.00_-;\-* #,##0.00_-;_-* &quot;-&quot;??_-;_-@_-"/>
    <numFmt numFmtId="164" formatCode="_-* #,##0_-;\-* #,##0_-;_-* &quot;-&quot;??_-;_-@_-"/>
    <numFmt numFmtId="165" formatCode="0.0&quot;0&quot;"/>
    <numFmt numFmtId="166" formatCode="&quot;[&quot;0.0&quot;0&quot;&quot;]&quot;"/>
    <numFmt numFmtId="167" formatCode="0.0%"/>
    <numFmt numFmtId="168" formatCode="General_)"/>
    <numFmt numFmtId="169" formatCode="_-* #,##0.000_-;\-* #,##0.000_-;_-* &quot;-&quot;??_-;_-@_-"/>
    <numFmt numFmtId="170" formatCode="[$-F800]dddd\,\ mmmm\ dd\,\ yyyy"/>
    <numFmt numFmtId="171" formatCode="_-* #,##0.0_-;\-* #,##0.0_-;_-* &quot;-&quot;??_-;_-@_-"/>
    <numFmt numFmtId="172" formatCode="0.0"/>
    <numFmt numFmtId="173" formatCode="0.0000"/>
    <numFmt numFmtId="174" formatCode="#,#00"/>
    <numFmt numFmtId="175" formatCode="#,#00,"/>
    <numFmt numFmtId="176" formatCode="0,"/>
    <numFmt numFmtId="177" formatCode="#,"/>
    <numFmt numFmtId="178" formatCode="&quot;[&quot;0&quot;]&quot;"/>
    <numFmt numFmtId="179" formatCode="&quot;[&quot;0.0&quot;0&quot;\]"/>
    <numFmt numFmtId="180" formatCode="#,##0_ ;[Red]\-#,##0\ "/>
    <numFmt numFmtId="181" formatCode="0.000"/>
    <numFmt numFmtId="182" formatCode="#,##0.0_ ;[Red]\-#,##0.0\ "/>
    <numFmt numFmtId="183" formatCode="&quot;£&quot;#,##0"/>
    <numFmt numFmtId="184" formatCode="&quot;£&quot;#,##0.00"/>
    <numFmt numFmtId="185" formatCode="#,##0_ ;\-#,##0\ "/>
    <numFmt numFmtId="186" formatCode="#,##0.0000_ ;\-#,##0.0000\ "/>
    <numFmt numFmtId="187" formatCode="#,##0.0_ ;\-#,##0.0\ "/>
    <numFmt numFmtId="188" formatCode="#,##0.0"/>
    <numFmt numFmtId="189" formatCode="[$£-809]#,##0"/>
    <numFmt numFmtId="190" formatCode="[$£-809]#,##0.0;&quot;-&quot;[$£-809]#,##0.0"/>
    <numFmt numFmtId="191" formatCode="[$£-809]#,##0.00;[Red][$£-809]#,##0.00"/>
    <numFmt numFmtId="192" formatCode="[$£-809]#,##0.00"/>
    <numFmt numFmtId="193" formatCode="[$£-809]#,##0.00;[Red]&quot;-&quot;[$£-809]#,##0.00"/>
    <numFmt numFmtId="194" formatCode="&quot;£&quot;#,##0.0"/>
    <numFmt numFmtId="195" formatCode="_-[$£-809]* #,##0.00_-;\-[$£-809]* #,##0.00_-;_-[$£-809]* &quot;-&quot;??_-;_-@_-"/>
  </numFmts>
  <fonts count="162" x14ac:knownFonts="1">
    <font>
      <sz val="11"/>
      <color theme="1"/>
      <name val="Calibri"/>
      <family val="2"/>
      <scheme val="minor"/>
    </font>
    <font>
      <b/>
      <sz val="8"/>
      <name val="Arial"/>
      <family val="2"/>
    </font>
    <font>
      <b/>
      <sz val="10"/>
      <name val="Arial"/>
      <family val="2"/>
    </font>
    <font>
      <sz val="10"/>
      <name val="Arial"/>
      <family val="2"/>
    </font>
    <font>
      <sz val="9"/>
      <name val="Arial"/>
      <family val="2"/>
    </font>
    <font>
      <i/>
      <sz val="7"/>
      <name val="Arial"/>
      <family val="2"/>
    </font>
    <font>
      <vertAlign val="superscript"/>
      <sz val="9"/>
      <name val="Arial"/>
      <family val="2"/>
    </font>
    <font>
      <b/>
      <sz val="9"/>
      <name val="Arial"/>
      <family val="2"/>
    </font>
    <font>
      <sz val="8"/>
      <name val="Arial"/>
      <family val="2"/>
    </font>
    <font>
      <i/>
      <sz val="8"/>
      <name val="Arial"/>
      <family val="2"/>
    </font>
    <font>
      <sz val="11"/>
      <color theme="1"/>
      <name val="Calibri"/>
      <family val="2"/>
      <scheme val="minor"/>
    </font>
    <font>
      <b/>
      <sz val="11"/>
      <color theme="1"/>
      <name val="Calibri"/>
      <family val="2"/>
      <scheme val="minor"/>
    </font>
    <font>
      <sz val="11"/>
      <color indexed="8"/>
      <name val="Calibri"/>
      <family val="2"/>
    </font>
    <font>
      <b/>
      <sz val="11"/>
      <color indexed="8"/>
      <name val="Calibri"/>
      <family val="2"/>
    </font>
    <font>
      <sz val="11"/>
      <color rgb="FFFF0000"/>
      <name val="Calibri"/>
      <family val="2"/>
      <scheme val="minor"/>
    </font>
    <font>
      <b/>
      <sz val="11"/>
      <color rgb="FFFF0000"/>
      <name val="Calibri"/>
      <family val="2"/>
      <scheme val="minor"/>
    </font>
    <font>
      <sz val="10"/>
      <name val="Courier"/>
    </font>
    <font>
      <sz val="10"/>
      <name val="MS Sans Serif"/>
      <family val="2"/>
    </font>
    <font>
      <b/>
      <sz val="14"/>
      <name val="Arial"/>
      <family val="2"/>
    </font>
    <font>
      <b/>
      <sz val="12"/>
      <name val="Arial"/>
      <family val="2"/>
    </font>
    <font>
      <sz val="7"/>
      <name val="Arial"/>
      <family val="2"/>
    </font>
    <font>
      <b/>
      <sz val="10"/>
      <name val="Arial Narrow"/>
      <family val="2"/>
    </font>
    <font>
      <b/>
      <vertAlign val="superscript"/>
      <sz val="8"/>
      <name val="Arial"/>
      <family val="2"/>
    </font>
    <font>
      <b/>
      <i/>
      <sz val="7"/>
      <name val="Arial"/>
      <family val="2"/>
    </font>
    <font>
      <u/>
      <sz val="10"/>
      <color indexed="12"/>
      <name val="Courier"/>
      <family val="3"/>
    </font>
    <font>
      <b/>
      <sz val="12"/>
      <color indexed="18"/>
      <name val="Arial"/>
      <family val="2"/>
    </font>
    <font>
      <sz val="8"/>
      <color indexed="18"/>
      <name val="Arial"/>
      <family val="2"/>
    </font>
    <font>
      <sz val="9"/>
      <color indexed="18"/>
      <name val="Arial"/>
      <family val="2"/>
    </font>
    <font>
      <b/>
      <sz val="10"/>
      <color indexed="18"/>
      <name val="Arial"/>
      <family val="2"/>
    </font>
    <font>
      <sz val="10"/>
      <name val="Courier"/>
      <family val="3"/>
    </font>
    <font>
      <u/>
      <sz val="10"/>
      <color theme="10"/>
      <name val="Courier"/>
      <family val="3"/>
    </font>
    <font>
      <sz val="6"/>
      <name val="Arial"/>
      <family val="2"/>
    </font>
    <font>
      <b/>
      <i/>
      <sz val="8"/>
      <name val="Arial"/>
      <family val="2"/>
    </font>
    <font>
      <b/>
      <vertAlign val="superscript"/>
      <sz val="9"/>
      <name val="Arial"/>
      <family val="2"/>
    </font>
    <font>
      <b/>
      <sz val="7"/>
      <name val="Arial"/>
      <family val="2"/>
    </font>
    <font>
      <vertAlign val="superscript"/>
      <sz val="7"/>
      <name val="Arial"/>
      <family val="2"/>
    </font>
    <font>
      <vertAlign val="superscript"/>
      <sz val="8"/>
      <name val="Arial"/>
      <family val="2"/>
    </font>
    <font>
      <sz val="7"/>
      <color indexed="10"/>
      <name val="Courier"/>
      <family val="3"/>
    </font>
    <font>
      <sz val="8"/>
      <color indexed="10"/>
      <name val="Courier"/>
      <family val="3"/>
    </font>
    <font>
      <b/>
      <sz val="28"/>
      <color indexed="18"/>
      <name val="Arial Narrow"/>
      <family val="2"/>
    </font>
    <font>
      <b/>
      <sz val="28"/>
      <color indexed="18"/>
      <name val="Arial"/>
      <family val="2"/>
    </font>
    <font>
      <b/>
      <sz val="14"/>
      <color indexed="18"/>
      <name val="Arial"/>
      <family val="2"/>
    </font>
    <font>
      <sz val="10"/>
      <color indexed="18"/>
      <name val="Arial"/>
      <family val="2"/>
    </font>
    <font>
      <b/>
      <i/>
      <sz val="14"/>
      <color indexed="18"/>
      <name val="Arial"/>
      <family val="2"/>
    </font>
    <font>
      <b/>
      <sz val="9"/>
      <color indexed="18"/>
      <name val="Arial"/>
      <family val="2"/>
    </font>
    <font>
      <i/>
      <sz val="8"/>
      <color indexed="18"/>
      <name val="Arial"/>
      <family val="2"/>
    </font>
    <font>
      <b/>
      <sz val="8"/>
      <color indexed="18"/>
      <name val="Arial"/>
      <family val="2"/>
    </font>
    <font>
      <b/>
      <i/>
      <sz val="8"/>
      <color indexed="18"/>
      <name val="Arial"/>
      <family val="2"/>
    </font>
    <font>
      <b/>
      <i/>
      <sz val="14"/>
      <name val="Arial"/>
      <family val="2"/>
    </font>
    <font>
      <b/>
      <sz val="10"/>
      <color indexed="18"/>
      <name val="Arial Narrow"/>
      <family val="2"/>
    </font>
    <font>
      <sz val="11"/>
      <name val="Calibri"/>
      <family val="2"/>
      <scheme val="minor"/>
    </font>
    <font>
      <b/>
      <sz val="11"/>
      <name val="Calibri"/>
      <family val="2"/>
      <scheme val="minor"/>
    </font>
    <font>
      <sz val="9"/>
      <name val="Courier"/>
      <family val="3"/>
    </font>
    <font>
      <sz val="9"/>
      <name val="Courier"/>
    </font>
    <font>
      <sz val="9"/>
      <name val="Calibri"/>
      <family val="2"/>
      <scheme val="minor"/>
    </font>
    <font>
      <b/>
      <sz val="11"/>
      <color rgb="FF0070C0"/>
      <name val="Calibri"/>
      <family val="2"/>
      <scheme val="minor"/>
    </font>
    <font>
      <b/>
      <sz val="11"/>
      <color theme="0"/>
      <name val="Calibri"/>
      <family val="2"/>
      <scheme val="minor"/>
    </font>
    <font>
      <b/>
      <sz val="9"/>
      <name val="Courier"/>
    </font>
    <font>
      <b/>
      <sz val="10"/>
      <name val="Courier"/>
    </font>
    <font>
      <b/>
      <sz val="9"/>
      <name val="Calibri"/>
      <family val="2"/>
      <scheme val="minor"/>
    </font>
    <font>
      <b/>
      <sz val="9"/>
      <name val="Courier"/>
      <family val="3"/>
    </font>
    <font>
      <b/>
      <sz val="7"/>
      <color indexed="10"/>
      <name val="Courier"/>
      <family val="3"/>
    </font>
    <font>
      <b/>
      <sz val="8"/>
      <color indexed="10"/>
      <name val="Courier"/>
      <family val="3"/>
    </font>
    <font>
      <sz val="7"/>
      <name val="Courier"/>
      <family val="3"/>
    </font>
    <font>
      <sz val="8"/>
      <name val="Courier"/>
      <family val="3"/>
    </font>
    <font>
      <b/>
      <sz val="8"/>
      <name val="Courier"/>
      <family val="3"/>
    </font>
    <font>
      <sz val="11"/>
      <color theme="1"/>
      <name val="Century Gothic"/>
      <family val="2"/>
    </font>
    <font>
      <b/>
      <sz val="11"/>
      <color theme="0"/>
      <name val="Century Gothic"/>
      <family val="2"/>
    </font>
    <font>
      <sz val="11"/>
      <color rgb="FFFF0000"/>
      <name val="Century Gothic"/>
      <family val="2"/>
    </font>
    <font>
      <sz val="11"/>
      <name val="Century Gothic"/>
      <family val="2"/>
    </font>
    <font>
      <b/>
      <sz val="11"/>
      <color theme="1"/>
      <name val="Century Gothic"/>
      <family val="2"/>
    </font>
    <font>
      <b/>
      <sz val="11"/>
      <name val="Century Gothic"/>
      <family val="2"/>
    </font>
    <font>
      <sz val="11"/>
      <color theme="0"/>
      <name val="Century Gothic"/>
      <family val="2"/>
    </font>
    <font>
      <b/>
      <sz val="11"/>
      <color rgb="FFFF0000"/>
      <name val="Century Gothic"/>
      <family val="2"/>
    </font>
    <font>
      <sz val="10"/>
      <color theme="1"/>
      <name val="Century Gothic"/>
      <family val="2"/>
    </font>
    <font>
      <b/>
      <sz val="10"/>
      <color rgb="FF007367"/>
      <name val="Century Gothic"/>
      <family val="2"/>
    </font>
    <font>
      <b/>
      <u/>
      <sz val="11"/>
      <name val="Calibri"/>
      <family val="2"/>
      <scheme val="minor"/>
    </font>
    <font>
      <sz val="11"/>
      <color theme="1"/>
      <name val="Gotham"/>
    </font>
    <font>
      <b/>
      <sz val="11"/>
      <color theme="0"/>
      <name val="Gotham"/>
    </font>
    <font>
      <sz val="11"/>
      <color rgb="FFFF0000"/>
      <name val="Gotham"/>
    </font>
    <font>
      <sz val="11"/>
      <name val="Gotham"/>
    </font>
    <font>
      <b/>
      <sz val="11"/>
      <color theme="1"/>
      <name val="Gotham"/>
    </font>
    <font>
      <b/>
      <sz val="11"/>
      <name val="Gotham"/>
    </font>
    <font>
      <b/>
      <sz val="11"/>
      <color rgb="FF007367"/>
      <name val="Gotham"/>
    </font>
    <font>
      <sz val="11"/>
      <color theme="0"/>
      <name val="Gotham"/>
    </font>
    <font>
      <b/>
      <sz val="10"/>
      <color theme="1"/>
      <name val="Gotham"/>
    </font>
    <font>
      <sz val="10"/>
      <color theme="1"/>
      <name val="Gotham"/>
    </font>
    <font>
      <sz val="10"/>
      <name val="Century Gothic"/>
      <family val="2"/>
    </font>
    <font>
      <b/>
      <sz val="11"/>
      <color rgb="FFB81178"/>
      <name val="Gotham"/>
    </font>
    <font>
      <sz val="8"/>
      <name val="Calibri"/>
      <family val="2"/>
      <scheme val="minor"/>
    </font>
    <font>
      <b/>
      <sz val="8"/>
      <color theme="1"/>
      <name val="Calibri"/>
      <family val="2"/>
      <scheme val="minor"/>
    </font>
    <font>
      <b/>
      <sz val="14"/>
      <color theme="1"/>
      <name val="Calibri"/>
      <family val="2"/>
      <scheme val="minor"/>
    </font>
    <font>
      <sz val="12"/>
      <color rgb="FF007367"/>
      <name val="Gotham"/>
    </font>
    <font>
      <b/>
      <sz val="12"/>
      <color theme="1"/>
      <name val="Gotham"/>
    </font>
    <font>
      <b/>
      <sz val="12"/>
      <name val="Gotham"/>
    </font>
    <font>
      <sz val="12"/>
      <color theme="1"/>
      <name val="Gotham"/>
    </font>
    <font>
      <sz val="12"/>
      <color theme="0"/>
      <name val="Gotham"/>
    </font>
    <font>
      <b/>
      <sz val="12"/>
      <color rgb="FF007367"/>
      <name val="Gotham"/>
    </font>
    <font>
      <sz val="12"/>
      <color rgb="FFFF0000"/>
      <name val="Gotham"/>
    </font>
    <font>
      <sz val="12"/>
      <name val="Gotham"/>
    </font>
    <font>
      <b/>
      <sz val="12"/>
      <color rgb="FFFF0000"/>
      <name val="Gotham"/>
    </font>
    <font>
      <b/>
      <sz val="12"/>
      <color theme="0" tint="-0.499984740745262"/>
      <name val="Gotham"/>
    </font>
    <font>
      <b/>
      <sz val="12"/>
      <color theme="0"/>
      <name val="Gotham"/>
    </font>
    <font>
      <b/>
      <u/>
      <sz val="12"/>
      <color rgb="FF007367"/>
      <name val="Gotham"/>
    </font>
    <font>
      <sz val="10"/>
      <color theme="1"/>
      <name val="Calibri"/>
      <family val="2"/>
      <scheme val="minor"/>
    </font>
    <font>
      <b/>
      <sz val="14"/>
      <color theme="1"/>
      <name val="Gotham"/>
    </font>
    <font>
      <sz val="12"/>
      <color theme="1"/>
      <name val="Calibri"/>
      <family val="2"/>
      <scheme val="minor"/>
    </font>
    <font>
      <sz val="10"/>
      <name val="Gotham"/>
    </font>
    <font>
      <sz val="10"/>
      <color rgb="FF000000"/>
      <name val="Gotham"/>
    </font>
    <font>
      <sz val="10"/>
      <name val="Calibri"/>
      <family val="2"/>
    </font>
    <font>
      <sz val="10"/>
      <color rgb="FF000000"/>
      <name val="Calibri"/>
      <family val="2"/>
      <scheme val="minor"/>
    </font>
    <font>
      <sz val="10"/>
      <color rgb="FF000000"/>
      <name val="Arial"/>
      <family val="2"/>
    </font>
    <font>
      <sz val="11"/>
      <color theme="1"/>
      <name val="Calibri"/>
      <family val="2"/>
    </font>
    <font>
      <u/>
      <sz val="11"/>
      <color theme="10"/>
      <name val="Calibri"/>
      <family val="2"/>
      <scheme val="minor"/>
    </font>
    <font>
      <u/>
      <sz val="10"/>
      <color rgb="FF002060"/>
      <name val="Arial"/>
      <family val="2"/>
    </font>
    <font>
      <b/>
      <sz val="12"/>
      <color theme="1"/>
      <name val="Calibri"/>
      <family val="2"/>
      <scheme val="minor"/>
    </font>
    <font>
      <b/>
      <sz val="20"/>
      <color theme="1"/>
      <name val="Calibri"/>
      <family val="2"/>
      <scheme val="minor"/>
    </font>
    <font>
      <b/>
      <sz val="18"/>
      <name val="Gotham"/>
    </font>
    <font>
      <sz val="11"/>
      <color rgb="FFB81178"/>
      <name val="Gotham"/>
    </font>
    <font>
      <b/>
      <sz val="12"/>
      <color rgb="FFB81178"/>
      <name val="Gotham"/>
    </font>
    <font>
      <b/>
      <sz val="10"/>
      <color rgb="FFB81178"/>
      <name val="Gotham"/>
    </font>
    <font>
      <sz val="12"/>
      <color rgb="FFB81178"/>
      <name val="Gotham"/>
    </font>
    <font>
      <b/>
      <sz val="14"/>
      <color rgb="FFB81178"/>
      <name val="Calibri"/>
      <family val="2"/>
      <scheme val="minor"/>
    </font>
    <font>
      <sz val="8"/>
      <color theme="1"/>
      <name val="Calibri"/>
      <family val="2"/>
      <scheme val="minor"/>
    </font>
    <font>
      <b/>
      <sz val="20"/>
      <color theme="1" tint="0.249977111117893"/>
      <name val="Calibri"/>
      <family val="2"/>
      <scheme val="minor"/>
    </font>
    <font>
      <sz val="11"/>
      <color theme="1" tint="0.249977111117893"/>
      <name val="Calibri"/>
      <family val="2"/>
      <scheme val="minor"/>
    </font>
    <font>
      <b/>
      <sz val="11"/>
      <color theme="1" tint="0.249977111117893"/>
      <name val="Calibri"/>
      <family val="2"/>
      <scheme val="minor"/>
    </font>
    <font>
      <b/>
      <sz val="10"/>
      <color theme="1" tint="0.249977111117893"/>
      <name val="Calibri"/>
      <family val="2"/>
      <scheme val="minor"/>
    </font>
    <font>
      <b/>
      <sz val="14"/>
      <color theme="0"/>
      <name val="Gotham"/>
    </font>
    <font>
      <sz val="14"/>
      <color theme="0"/>
      <name val="Gotham"/>
    </font>
    <font>
      <b/>
      <sz val="14"/>
      <color rgb="FF000000"/>
      <name val="Calibri"/>
      <family val="2"/>
    </font>
    <font>
      <b/>
      <i/>
      <sz val="11"/>
      <color rgb="FF000000"/>
      <name val="Calibri"/>
      <family val="2"/>
    </font>
    <font>
      <b/>
      <sz val="11"/>
      <color rgb="FF000000"/>
      <name val="Calibri"/>
      <family val="2"/>
    </font>
    <font>
      <b/>
      <sz val="16"/>
      <color rgb="FF000000"/>
      <name val="Calibri"/>
      <family val="2"/>
    </font>
    <font>
      <u/>
      <sz val="10"/>
      <color indexed="12"/>
      <name val="Arial"/>
      <family val="2"/>
    </font>
    <font>
      <u/>
      <sz val="10"/>
      <color indexed="30"/>
      <name val="Courier"/>
      <family val="3"/>
    </font>
    <font>
      <u/>
      <sz val="10"/>
      <color indexed="30"/>
      <name val="Arial"/>
      <family val="2"/>
    </font>
    <font>
      <u/>
      <sz val="8"/>
      <color theme="10"/>
      <name val="Arial"/>
      <family val="2"/>
    </font>
    <font>
      <b/>
      <sz val="18"/>
      <color theme="0"/>
      <name val="Gotham"/>
    </font>
    <font>
      <b/>
      <sz val="18"/>
      <color rgb="FF009FA0"/>
      <name val="Gotham"/>
    </font>
    <font>
      <b/>
      <sz val="12"/>
      <color rgb="FF009FA0"/>
      <name val="Gotham"/>
    </font>
    <font>
      <b/>
      <sz val="16"/>
      <color rgb="FFB81178"/>
      <name val="Gotham"/>
    </font>
    <font>
      <sz val="9"/>
      <color rgb="FFB81178"/>
      <name val="Gotham"/>
    </font>
    <font>
      <b/>
      <sz val="14"/>
      <color rgb="FFB81178"/>
      <name val="Gotham"/>
    </font>
    <font>
      <sz val="12"/>
      <color rgb="FF009FA0"/>
      <name val="Gotham"/>
    </font>
    <font>
      <i/>
      <sz val="12"/>
      <color rgb="FF009FA0"/>
      <name val="Gotham"/>
    </font>
    <font>
      <sz val="11"/>
      <color rgb="FF009FA0"/>
      <name val="Gotham"/>
    </font>
    <font>
      <sz val="7.5"/>
      <color rgb="FF009FA0"/>
      <name val="Gotham"/>
    </font>
    <font>
      <sz val="10"/>
      <color rgb="FFB81178"/>
      <name val="Gotham"/>
    </font>
    <font>
      <b/>
      <sz val="9"/>
      <color rgb="FFB81178"/>
      <name val="Gotham"/>
    </font>
    <font>
      <u/>
      <sz val="9"/>
      <color rgb="FFB81178"/>
      <name val="Gotham"/>
    </font>
    <font>
      <b/>
      <sz val="8"/>
      <color rgb="FFB81178"/>
      <name val="Gotham"/>
    </font>
    <font>
      <sz val="8"/>
      <color rgb="FFB81178"/>
      <name val="Gotham"/>
    </font>
    <font>
      <b/>
      <sz val="14"/>
      <color rgb="FF009FA0"/>
      <name val="Gotham"/>
    </font>
    <font>
      <sz val="9"/>
      <color theme="0"/>
      <name val="Arial"/>
      <family val="2"/>
    </font>
    <font>
      <vertAlign val="superscript"/>
      <sz val="9"/>
      <color theme="0"/>
      <name val="Arial"/>
      <family val="2"/>
    </font>
    <font>
      <b/>
      <sz val="10"/>
      <color theme="0"/>
      <name val="Gotham"/>
    </font>
    <font>
      <sz val="10"/>
      <color rgb="FF009FA0"/>
      <name val="Gotham"/>
    </font>
    <font>
      <u/>
      <sz val="11"/>
      <color theme="0"/>
      <name val="Gotham"/>
    </font>
    <font>
      <sz val="11"/>
      <color rgb="FF000000"/>
      <name val="Calibri"/>
      <family val="2"/>
    </font>
    <font>
      <b/>
      <sz val="11"/>
      <color theme="0"/>
      <name val="Calibri"/>
      <family val="2"/>
    </font>
    <font>
      <b/>
      <i/>
      <sz val="11"/>
      <color theme="1"/>
      <name val="Calibri"/>
      <family val="2"/>
      <scheme val="minor"/>
    </font>
  </fonts>
  <fills count="30">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00B0F0"/>
        <bgColor indexed="64"/>
      </patternFill>
    </fill>
    <fill>
      <patternFill patternType="solid">
        <fgColor rgb="FF92D050"/>
        <bgColor indexed="64"/>
      </patternFill>
    </fill>
    <fill>
      <patternFill patternType="solid">
        <fgColor theme="9"/>
        <bgColor indexed="64"/>
      </patternFill>
    </fill>
    <fill>
      <patternFill patternType="solid">
        <fgColor theme="5" tint="-0.249977111117893"/>
        <bgColor indexed="64"/>
      </patternFill>
    </fill>
    <fill>
      <patternFill patternType="solid">
        <fgColor theme="4" tint="0.59999389629810485"/>
        <bgColor indexed="64"/>
      </patternFill>
    </fill>
    <fill>
      <patternFill patternType="solid">
        <fgColor theme="6"/>
        <bgColor indexed="64"/>
      </patternFill>
    </fill>
    <fill>
      <patternFill patternType="solid">
        <fgColor rgb="FF008080"/>
        <bgColor indexed="64"/>
      </patternFill>
    </fill>
    <fill>
      <patternFill patternType="solid">
        <fgColor theme="0" tint="-0.34998626667073579"/>
        <bgColor indexed="64"/>
      </patternFill>
    </fill>
    <fill>
      <patternFill patternType="solid">
        <fgColor rgb="FFFF0000"/>
        <bgColor indexed="64"/>
      </patternFill>
    </fill>
    <fill>
      <patternFill patternType="solid">
        <fgColor theme="0" tint="-0.14999847407452621"/>
        <bgColor indexed="64"/>
      </patternFill>
    </fill>
    <fill>
      <patternFill patternType="solid">
        <fgColor theme="1"/>
        <bgColor indexed="64"/>
      </patternFill>
    </fill>
    <fill>
      <patternFill patternType="solid">
        <fgColor rgb="FF009FA0"/>
        <bgColor indexed="64"/>
      </patternFill>
    </fill>
    <fill>
      <patternFill patternType="solid">
        <fgColor rgb="FFE3E9E4"/>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rgb="FFB81178"/>
        <bgColor indexed="64"/>
      </patternFill>
    </fill>
    <fill>
      <patternFill patternType="solid">
        <fgColor rgb="FFBFBFBF"/>
        <bgColor rgb="FFBFBFBF"/>
      </patternFill>
    </fill>
    <fill>
      <patternFill patternType="solid">
        <fgColor rgb="FFFFFFFF"/>
        <bgColor rgb="FFFFFFFF"/>
      </patternFill>
    </fill>
    <fill>
      <patternFill patternType="solid">
        <fgColor theme="0" tint="-0.249977111117893"/>
        <bgColor rgb="FFFFFFFF"/>
      </patternFill>
    </fill>
    <fill>
      <patternFill patternType="solid">
        <fgColor rgb="FF009FA0"/>
        <bgColor rgb="FFFFFF00"/>
      </patternFill>
    </fill>
    <fill>
      <patternFill patternType="solid">
        <fgColor theme="0" tint="-0.249977111117893"/>
        <bgColor rgb="FFFFFF00"/>
      </patternFill>
    </fill>
  </fills>
  <borders count="126">
    <border>
      <left/>
      <right/>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auto="1"/>
      </left>
      <right style="medium">
        <color auto="1"/>
      </right>
      <top style="medium">
        <color auto="1"/>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rgb="FF007367"/>
      </left>
      <right/>
      <top style="thin">
        <color rgb="FF007367"/>
      </top>
      <bottom/>
      <diagonal/>
    </border>
    <border>
      <left/>
      <right/>
      <top style="thin">
        <color rgb="FF007367"/>
      </top>
      <bottom/>
      <diagonal/>
    </border>
    <border>
      <left style="medium">
        <color rgb="FF007367"/>
      </left>
      <right/>
      <top/>
      <bottom/>
      <diagonal/>
    </border>
    <border>
      <left/>
      <right style="medium">
        <color rgb="FF007367"/>
      </right>
      <top/>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right/>
      <top style="medium">
        <color theme="0"/>
      </top>
      <bottom/>
      <diagonal/>
    </border>
    <border>
      <left/>
      <right style="medium">
        <color theme="0"/>
      </right>
      <top style="medium">
        <color theme="0"/>
      </top>
      <bottom/>
      <diagonal/>
    </border>
    <border>
      <left style="medium">
        <color theme="0"/>
      </left>
      <right/>
      <top style="medium">
        <color theme="0"/>
      </top>
      <bottom/>
      <diagonal/>
    </border>
    <border>
      <left style="medium">
        <color rgb="FF007367"/>
      </left>
      <right style="medium">
        <color theme="0"/>
      </right>
      <top/>
      <bottom/>
      <diagonal/>
    </border>
    <border>
      <left style="thin">
        <color indexed="64"/>
      </left>
      <right style="thin">
        <color indexed="64"/>
      </right>
      <top/>
      <bottom style="medium">
        <color rgb="FF007367"/>
      </bottom>
      <diagonal/>
    </border>
    <border>
      <left style="thin">
        <color indexed="64"/>
      </left>
      <right style="medium">
        <color rgb="FF007367"/>
      </right>
      <top/>
      <bottom style="medium">
        <color rgb="FF007367"/>
      </bottom>
      <diagonal/>
    </border>
    <border>
      <left style="medium">
        <color rgb="FF007367"/>
      </left>
      <right style="medium">
        <color theme="0"/>
      </right>
      <top style="thin">
        <color theme="0"/>
      </top>
      <bottom/>
      <diagonal/>
    </border>
    <border>
      <left style="medium">
        <color theme="0"/>
      </left>
      <right/>
      <top style="thin">
        <color theme="0"/>
      </top>
      <bottom style="medium">
        <color theme="0"/>
      </bottom>
      <diagonal/>
    </border>
    <border>
      <left/>
      <right/>
      <top style="thin">
        <color theme="0"/>
      </top>
      <bottom style="medium">
        <color theme="0"/>
      </bottom>
      <diagonal/>
    </border>
    <border>
      <left style="medium">
        <color theme="0"/>
      </left>
      <right style="thin">
        <color rgb="FF007367"/>
      </right>
      <top style="medium">
        <color theme="0"/>
      </top>
      <bottom style="medium">
        <color theme="0"/>
      </bottom>
      <diagonal/>
    </border>
    <border>
      <left/>
      <right style="thin">
        <color indexed="64"/>
      </right>
      <top/>
      <bottom style="medium">
        <color rgb="FF007367"/>
      </bottom>
      <diagonal/>
    </border>
    <border>
      <left style="medium">
        <color theme="0"/>
      </left>
      <right style="medium">
        <color theme="0"/>
      </right>
      <top style="medium">
        <color theme="0"/>
      </top>
      <bottom/>
      <diagonal/>
    </border>
    <border>
      <left/>
      <right style="medium">
        <color rgb="FF007367"/>
      </right>
      <top style="medium">
        <color theme="0"/>
      </top>
      <bottom style="medium">
        <color theme="0"/>
      </bottom>
      <diagonal/>
    </border>
    <border>
      <left style="medium">
        <color theme="0"/>
      </left>
      <right/>
      <top/>
      <bottom style="medium">
        <color theme="0"/>
      </bottom>
      <diagonal/>
    </border>
    <border>
      <left/>
      <right/>
      <top/>
      <bottom style="medium">
        <color theme="0"/>
      </bottom>
      <diagonal/>
    </border>
    <border>
      <left/>
      <right style="thin">
        <color rgb="FF007367"/>
      </right>
      <top/>
      <bottom/>
      <diagonal/>
    </border>
    <border>
      <left/>
      <right/>
      <top style="medium">
        <color theme="0"/>
      </top>
      <bottom style="medium">
        <color theme="0"/>
      </bottom>
      <diagonal/>
    </border>
    <border>
      <left/>
      <right/>
      <top/>
      <bottom style="thin">
        <color indexed="0"/>
      </bottom>
      <diagonal/>
    </border>
    <border>
      <left style="medium">
        <color rgb="FF009FA0"/>
      </left>
      <right style="medium">
        <color rgb="FF009FA0"/>
      </right>
      <top style="medium">
        <color rgb="FF009FA0"/>
      </top>
      <bottom style="medium">
        <color rgb="FF009FA0"/>
      </bottom>
      <diagonal/>
    </border>
    <border>
      <left style="medium">
        <color rgb="FF009FA0"/>
      </left>
      <right/>
      <top style="medium">
        <color rgb="FF009FA0"/>
      </top>
      <bottom style="medium">
        <color rgb="FF009FA0"/>
      </bottom>
      <diagonal/>
    </border>
    <border>
      <left/>
      <right/>
      <top style="medium">
        <color rgb="FF009FA0"/>
      </top>
      <bottom style="medium">
        <color rgb="FF009FA0"/>
      </bottom>
      <diagonal/>
    </border>
    <border>
      <left/>
      <right style="medium">
        <color rgb="FF009FA0"/>
      </right>
      <top style="medium">
        <color rgb="FF009FA0"/>
      </top>
      <bottom style="medium">
        <color rgb="FF009FA0"/>
      </bottom>
      <diagonal/>
    </border>
    <border>
      <left style="medium">
        <color rgb="FF009FA0"/>
      </left>
      <right style="thin">
        <color indexed="64"/>
      </right>
      <top style="medium">
        <color rgb="FF009FA0"/>
      </top>
      <bottom style="medium">
        <color rgb="FF009FA0"/>
      </bottom>
      <diagonal/>
    </border>
    <border>
      <left style="thin">
        <color indexed="64"/>
      </left>
      <right style="thin">
        <color indexed="64"/>
      </right>
      <top style="medium">
        <color rgb="FF009FA0"/>
      </top>
      <bottom style="medium">
        <color rgb="FF009FA0"/>
      </bottom>
      <diagonal/>
    </border>
    <border>
      <left style="thin">
        <color indexed="64"/>
      </left>
      <right style="medium">
        <color rgb="FF009FA0"/>
      </right>
      <top style="medium">
        <color rgb="FF009FA0"/>
      </top>
      <bottom style="medium">
        <color rgb="FF009FA0"/>
      </bottom>
      <diagonal/>
    </border>
    <border>
      <left style="medium">
        <color rgb="FF009FA0"/>
      </left>
      <right/>
      <top style="medium">
        <color rgb="FF009FA0"/>
      </top>
      <bottom/>
      <diagonal/>
    </border>
    <border>
      <left/>
      <right/>
      <top style="medium">
        <color rgb="FF009FA0"/>
      </top>
      <bottom/>
      <diagonal/>
    </border>
    <border>
      <left/>
      <right style="medium">
        <color rgb="FF009FA0"/>
      </right>
      <top style="medium">
        <color rgb="FF009FA0"/>
      </top>
      <bottom/>
      <diagonal/>
    </border>
    <border>
      <left style="thin">
        <color indexed="64"/>
      </left>
      <right style="medium">
        <color rgb="FF007367"/>
      </right>
      <top/>
      <bottom/>
      <diagonal/>
    </border>
    <border>
      <left style="medium">
        <color rgb="FF007367"/>
      </left>
      <right style="thin">
        <color indexed="64"/>
      </right>
      <top style="medium">
        <color rgb="FF007367"/>
      </top>
      <bottom/>
      <diagonal/>
    </border>
    <border>
      <left style="thin">
        <color indexed="64"/>
      </left>
      <right style="thin">
        <color indexed="64"/>
      </right>
      <top style="medium">
        <color rgb="FF007367"/>
      </top>
      <bottom/>
      <diagonal/>
    </border>
    <border>
      <left style="thin">
        <color indexed="64"/>
      </left>
      <right style="medium">
        <color rgb="FF007367"/>
      </right>
      <top style="medium">
        <color rgb="FF007367"/>
      </top>
      <bottom/>
      <diagonal/>
    </border>
    <border>
      <left style="medium">
        <color rgb="FF009FA0"/>
      </left>
      <right style="medium">
        <color rgb="FF007367"/>
      </right>
      <top style="medium">
        <color rgb="FF009FA0"/>
      </top>
      <bottom style="medium">
        <color rgb="FF009FA0"/>
      </bottom>
      <diagonal/>
    </border>
    <border>
      <left style="medium">
        <color rgb="FF007367"/>
      </left>
      <right style="medium">
        <color rgb="FF007367"/>
      </right>
      <top style="medium">
        <color rgb="FF009FA0"/>
      </top>
      <bottom style="medium">
        <color rgb="FF009FA0"/>
      </bottom>
      <diagonal/>
    </border>
    <border>
      <left style="medium">
        <color rgb="FF007367"/>
      </left>
      <right style="medium">
        <color rgb="FF009FA0"/>
      </right>
      <top style="medium">
        <color rgb="FF009FA0"/>
      </top>
      <bottom style="medium">
        <color rgb="FF009FA0"/>
      </bottom>
      <diagonal/>
    </border>
    <border>
      <left style="medium">
        <color rgb="FF007367"/>
      </left>
      <right/>
      <top style="medium">
        <color rgb="FF009FA0"/>
      </top>
      <bottom style="medium">
        <color rgb="FF009FA0"/>
      </bottom>
      <diagonal/>
    </border>
    <border>
      <left style="medium">
        <color theme="0"/>
      </left>
      <right style="medium">
        <color theme="0"/>
      </right>
      <top/>
      <bottom/>
      <diagonal/>
    </border>
    <border>
      <left style="medium">
        <color rgb="FF009FA0"/>
      </left>
      <right style="medium">
        <color rgb="FF009FA0"/>
      </right>
      <top style="medium">
        <color rgb="FF009FA0"/>
      </top>
      <bottom/>
      <diagonal/>
    </border>
    <border>
      <left style="medium">
        <color rgb="FF009FA0"/>
      </left>
      <right style="medium">
        <color rgb="FF009FA0"/>
      </right>
      <top/>
      <bottom style="medium">
        <color rgb="FF009FA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hair">
        <color auto="1"/>
      </left>
      <right style="hair">
        <color auto="1"/>
      </right>
      <top style="hair">
        <color auto="1"/>
      </top>
      <bottom style="hair">
        <color auto="1"/>
      </bottom>
      <diagonal/>
    </border>
    <border>
      <left style="hair">
        <color rgb="FF007367"/>
      </left>
      <right style="hair">
        <color rgb="FF007367"/>
      </right>
      <top style="hair">
        <color rgb="FF007367"/>
      </top>
      <bottom style="hair">
        <color rgb="FF007367"/>
      </bottom>
      <diagonal/>
    </border>
    <border>
      <left style="hair">
        <color rgb="FF007367"/>
      </left>
      <right/>
      <top style="hair">
        <color rgb="FF007367"/>
      </top>
      <bottom style="hair">
        <color rgb="FF007367"/>
      </bottom>
      <diagonal/>
    </border>
    <border>
      <left/>
      <right/>
      <top style="hair">
        <color rgb="FF007367"/>
      </top>
      <bottom style="hair">
        <color rgb="FF007367"/>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bottom/>
      <diagonal/>
    </border>
    <border>
      <left/>
      <right/>
      <top style="thin">
        <color indexed="0"/>
      </top>
      <bottom style="thin">
        <color indexed="0"/>
      </bottom>
      <diagonal/>
    </border>
    <border>
      <left/>
      <right/>
      <top style="thin">
        <color indexed="0"/>
      </top>
      <bottom/>
      <diagonal/>
    </border>
    <border>
      <left style="medium">
        <color rgb="FF009FA0"/>
      </left>
      <right/>
      <top style="medium">
        <color rgb="FF009FA0"/>
      </top>
      <bottom style="medium">
        <color rgb="FF007367"/>
      </bottom>
      <diagonal/>
    </border>
    <border>
      <left/>
      <right/>
      <top style="medium">
        <color rgb="FF009FA0"/>
      </top>
      <bottom style="medium">
        <color rgb="FF007367"/>
      </bottom>
      <diagonal/>
    </border>
    <border>
      <left/>
      <right style="medium">
        <color rgb="FF009FA0"/>
      </right>
      <top style="medium">
        <color rgb="FF009FA0"/>
      </top>
      <bottom style="medium">
        <color rgb="FF007367"/>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hair">
        <color rgb="FF007367"/>
      </right>
      <top style="hair">
        <color rgb="FF007367"/>
      </top>
      <bottom style="hair">
        <color rgb="FF007367"/>
      </bottom>
      <diagonal/>
    </border>
    <border>
      <left/>
      <right style="hair">
        <color rgb="FF007367"/>
      </right>
      <top/>
      <bottom/>
      <diagonal/>
    </border>
    <border>
      <left/>
      <right/>
      <top/>
      <bottom style="hair">
        <color auto="1"/>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hair">
        <color auto="1"/>
      </left>
      <right style="hair">
        <color auto="1"/>
      </right>
      <top style="hair">
        <color auto="1"/>
      </top>
      <bottom/>
      <diagonal/>
    </border>
    <border>
      <left/>
      <right/>
      <top/>
      <bottom style="thin">
        <color auto="1"/>
      </bottom>
      <diagonal/>
    </border>
    <border>
      <left style="hair">
        <color auto="1"/>
      </left>
      <right style="hair">
        <color auto="1"/>
      </right>
      <top/>
      <bottom/>
      <diagonal/>
    </border>
    <border>
      <left style="hair">
        <color auto="1"/>
      </left>
      <right/>
      <top style="hair">
        <color auto="1"/>
      </top>
      <bottom/>
      <diagonal/>
    </border>
    <border>
      <left style="hair">
        <color rgb="FF007367"/>
      </left>
      <right style="hair">
        <color rgb="FF007367"/>
      </right>
      <top style="hair">
        <color rgb="FF007367"/>
      </top>
      <bottom/>
      <diagonal/>
    </border>
    <border>
      <left style="hair">
        <color rgb="FF007367"/>
      </left>
      <right style="hair">
        <color rgb="FF007367"/>
      </right>
      <top/>
      <bottom style="hair">
        <color rgb="FF007367"/>
      </bottom>
      <diagonal/>
    </border>
  </borders>
  <cellStyleXfs count="30">
    <xf numFmtId="0" fontId="0" fillId="0" borderId="0"/>
    <xf numFmtId="43" fontId="10" fillId="0" borderId="0" applyFont="0" applyFill="0" applyBorder="0" applyAlignment="0" applyProtection="0"/>
    <xf numFmtId="9" fontId="10" fillId="0" borderId="0" applyFont="0" applyFill="0" applyBorder="0" applyAlignment="0" applyProtection="0"/>
    <xf numFmtId="168" fontId="16" fillId="0" borderId="0"/>
    <xf numFmtId="40" fontId="17" fillId="0" borderId="0" applyFont="0" applyFill="0" applyBorder="0" applyAlignment="0" applyProtection="0"/>
    <xf numFmtId="0" fontId="30"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168" fontId="29" fillId="0" borderId="0"/>
    <xf numFmtId="168" fontId="29" fillId="0" borderId="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113" fillId="0" borderId="0" applyNumberFormat="0" applyFill="0" applyBorder="0" applyAlignment="0" applyProtection="0"/>
    <xf numFmtId="40" fontId="29" fillId="0" borderId="0"/>
    <xf numFmtId="0" fontId="3" fillId="0" borderId="0"/>
    <xf numFmtId="168" fontId="30" fillId="0" borderId="0"/>
    <xf numFmtId="0" fontId="3" fillId="0" borderId="0"/>
    <xf numFmtId="0" fontId="10" fillId="0" borderId="0"/>
    <xf numFmtId="0" fontId="134" fillId="0" borderId="0">
      <alignment vertical="top"/>
      <protection locked="0"/>
    </xf>
    <xf numFmtId="168" fontId="29" fillId="0" borderId="0"/>
    <xf numFmtId="40" fontId="29" fillId="0" borderId="0"/>
    <xf numFmtId="40" fontId="29" fillId="0" borderId="0"/>
    <xf numFmtId="168" fontId="29" fillId="0" borderId="0"/>
    <xf numFmtId="168" fontId="30" fillId="0" borderId="0"/>
    <xf numFmtId="0" fontId="3" fillId="0" borderId="0"/>
    <xf numFmtId="0" fontId="134" fillId="0" borderId="0">
      <alignment vertical="top"/>
      <protection locked="0"/>
    </xf>
    <xf numFmtId="168" fontId="135" fillId="0" borderId="0"/>
    <xf numFmtId="0" fontId="136" fillId="0" borderId="0"/>
    <xf numFmtId="168" fontId="30" fillId="0" borderId="0" applyNumberFormat="0" applyFill="0" applyBorder="0" applyAlignment="0" applyProtection="0"/>
    <xf numFmtId="0" fontId="134" fillId="0" borderId="0" applyNumberFormat="0" applyFill="0" applyBorder="0" applyAlignment="0" applyProtection="0">
      <alignment vertical="top"/>
      <protection locked="0"/>
    </xf>
  </cellStyleXfs>
  <cellXfs count="1779">
    <xf numFmtId="0" fontId="0" fillId="0" borderId="0" xfId="0"/>
    <xf numFmtId="164" fontId="10" fillId="0" borderId="0" xfId="1" applyNumberFormat="1" applyFont="1"/>
    <xf numFmtId="165" fontId="4" fillId="2" borderId="0" xfId="0" applyNumberFormat="1" applyFont="1" applyFill="1" applyAlignment="1">
      <alignment horizontal="left" vertical="center"/>
    </xf>
    <xf numFmtId="164" fontId="0" fillId="0" borderId="0" xfId="0" applyNumberFormat="1"/>
    <xf numFmtId="0" fontId="0" fillId="0" borderId="0" xfId="0" applyAlignment="1">
      <alignment horizontal="right"/>
    </xf>
    <xf numFmtId="9" fontId="0" fillId="0" borderId="0" xfId="0" applyNumberFormat="1"/>
    <xf numFmtId="43" fontId="0" fillId="0" borderId="0" xfId="1" applyFont="1"/>
    <xf numFmtId="43" fontId="0" fillId="0" borderId="0" xfId="0" applyNumberFormat="1"/>
    <xf numFmtId="167" fontId="0" fillId="0" borderId="0" xfId="0" applyNumberFormat="1"/>
    <xf numFmtId="10" fontId="0" fillId="0" borderId="0" xfId="0" applyNumberFormat="1"/>
    <xf numFmtId="0" fontId="11" fillId="0" borderId="0" xfId="0" applyFont="1"/>
    <xf numFmtId="0" fontId="0" fillId="0" borderId="0" xfId="0" quotePrefix="1"/>
    <xf numFmtId="0" fontId="0" fillId="5" borderId="0" xfId="0" applyFill="1"/>
    <xf numFmtId="0" fontId="0" fillId="0" borderId="0" xfId="0" applyAlignment="1">
      <alignment wrapText="1"/>
    </xf>
    <xf numFmtId="17" fontId="0" fillId="0" borderId="0" xfId="0" applyNumberFormat="1" applyAlignment="1">
      <alignment wrapText="1"/>
    </xf>
    <xf numFmtId="17" fontId="0" fillId="0" borderId="0" xfId="0" applyNumberFormat="1"/>
    <xf numFmtId="0" fontId="1" fillId="5" borderId="0" xfId="0" applyFont="1" applyFill="1" applyAlignment="1">
      <alignment horizontal="right" vertical="center"/>
    </xf>
    <xf numFmtId="2" fontId="1" fillId="5" borderId="0" xfId="0" applyNumberFormat="1" applyFont="1" applyFill="1" applyAlignment="1">
      <alignment horizontal="right" vertical="center"/>
    </xf>
    <xf numFmtId="0" fontId="1" fillId="5" borderId="0" xfId="0" applyFont="1" applyFill="1" applyAlignment="1">
      <alignment horizontal="centerContinuous" vertical="center"/>
    </xf>
    <xf numFmtId="2" fontId="1" fillId="5" borderId="0" xfId="0" applyNumberFormat="1" applyFont="1" applyFill="1" applyAlignment="1">
      <alignment horizontal="centerContinuous" vertical="center"/>
    </xf>
    <xf numFmtId="0" fontId="2" fillId="5" borderId="0" xfId="0" applyFont="1" applyFill="1" applyAlignment="1">
      <alignment horizontal="centerContinuous" vertical="center"/>
    </xf>
    <xf numFmtId="0" fontId="1" fillId="5" borderId="0" xfId="0" quotePrefix="1" applyFont="1" applyFill="1" applyAlignment="1">
      <alignment horizontal="right" vertical="center"/>
    </xf>
    <xf numFmtId="0" fontId="2" fillId="5" borderId="0" xfId="0" applyFont="1" applyFill="1" applyAlignment="1">
      <alignment vertical="center"/>
    </xf>
    <xf numFmtId="0" fontId="3" fillId="5" borderId="0" xfId="0" applyFont="1" applyFill="1"/>
    <xf numFmtId="165" fontId="4" fillId="5" borderId="0" xfId="0" applyNumberFormat="1" applyFont="1" applyFill="1" applyAlignment="1">
      <alignment horizontal="left" vertical="center"/>
    </xf>
    <xf numFmtId="165" fontId="4" fillId="5" borderId="0" xfId="0" applyNumberFormat="1" applyFont="1" applyFill="1" applyAlignment="1">
      <alignment vertical="center"/>
    </xf>
    <xf numFmtId="1" fontId="5" fillId="5" borderId="0" xfId="0" applyNumberFormat="1" applyFont="1" applyFill="1" applyAlignment="1">
      <alignment horizontal="left" vertical="center"/>
    </xf>
    <xf numFmtId="165" fontId="8" fillId="5" borderId="0" xfId="0" applyNumberFormat="1" applyFont="1" applyFill="1" applyAlignment="1">
      <alignment horizontal="right" vertical="center"/>
    </xf>
    <xf numFmtId="1" fontId="5" fillId="5" borderId="0" xfId="0" quotePrefix="1" applyNumberFormat="1" applyFont="1" applyFill="1" applyAlignment="1">
      <alignment horizontal="left" vertical="center"/>
    </xf>
    <xf numFmtId="0" fontId="3" fillId="5" borderId="0" xfId="0" applyFont="1" applyFill="1" applyAlignment="1">
      <alignment horizontal="left" vertical="center"/>
    </xf>
    <xf numFmtId="2" fontId="3" fillId="5" borderId="0" xfId="0" applyNumberFormat="1" applyFont="1" applyFill="1" applyAlignment="1">
      <alignment horizontal="right"/>
    </xf>
    <xf numFmtId="165" fontId="7" fillId="5" borderId="0" xfId="0" applyNumberFormat="1" applyFont="1" applyFill="1" applyAlignment="1">
      <alignment vertical="center"/>
    </xf>
    <xf numFmtId="43" fontId="10" fillId="5" borderId="0" xfId="1" applyFont="1" applyFill="1"/>
    <xf numFmtId="0" fontId="15" fillId="7" borderId="0" xfId="0" applyFont="1" applyFill="1"/>
    <xf numFmtId="0" fontId="14" fillId="7" borderId="0" xfId="0" applyFont="1" applyFill="1"/>
    <xf numFmtId="168" fontId="1" fillId="2" borderId="9" xfId="3" applyFont="1" applyFill="1" applyBorder="1"/>
    <xf numFmtId="168" fontId="21" fillId="2" borderId="0" xfId="3" applyFont="1" applyFill="1" applyAlignment="1">
      <alignment vertical="center"/>
    </xf>
    <xf numFmtId="168" fontId="19" fillId="2" borderId="0" xfId="3" applyFont="1" applyFill="1" applyAlignment="1">
      <alignment horizontal="left" vertical="center"/>
    </xf>
    <xf numFmtId="2" fontId="18" fillId="2" borderId="0" xfId="3" applyNumberFormat="1" applyFont="1" applyFill="1" applyAlignment="1">
      <alignment horizontal="right" vertical="center"/>
    </xf>
    <xf numFmtId="168" fontId="19" fillId="2" borderId="0" xfId="3" applyFont="1" applyFill="1" applyAlignment="1">
      <alignment horizontal="right" vertical="center"/>
    </xf>
    <xf numFmtId="168" fontId="18" fillId="2" borderId="0" xfId="3" applyFont="1" applyFill="1" applyAlignment="1">
      <alignment horizontal="left" vertical="center"/>
    </xf>
    <xf numFmtId="168" fontId="3" fillId="2" borderId="0" xfId="3" applyFont="1" applyFill="1" applyAlignment="1">
      <alignment horizontal="right"/>
    </xf>
    <xf numFmtId="168" fontId="1" fillId="2" borderId="0" xfId="3" applyFont="1" applyFill="1" applyAlignment="1">
      <alignment horizontal="centerContinuous" vertical="center"/>
    </xf>
    <xf numFmtId="168" fontId="8" fillId="2" borderId="0" xfId="3" applyFont="1" applyFill="1"/>
    <xf numFmtId="5" fontId="8" fillId="2" borderId="0" xfId="3" applyNumberFormat="1" applyFont="1" applyFill="1" applyAlignment="1">
      <alignment horizontal="right" vertical="center"/>
    </xf>
    <xf numFmtId="2" fontId="1" fillId="2" borderId="0" xfId="3" applyNumberFormat="1" applyFont="1" applyFill="1" applyAlignment="1">
      <alignment horizontal="centerContinuous" vertical="center"/>
    </xf>
    <xf numFmtId="168" fontId="2" fillId="2" borderId="0" xfId="3" applyFont="1" applyFill="1" applyAlignment="1">
      <alignment horizontal="centerContinuous" vertical="center"/>
    </xf>
    <xf numFmtId="168" fontId="1" fillId="2" borderId="0" xfId="3" quotePrefix="1" applyFont="1" applyFill="1" applyAlignment="1">
      <alignment horizontal="centerContinuous" vertical="center"/>
    </xf>
    <xf numFmtId="168" fontId="1" fillId="2" borderId="0" xfId="3" quotePrefix="1" applyFont="1" applyFill="1" applyAlignment="1">
      <alignment horizontal="right" vertical="center"/>
    </xf>
    <xf numFmtId="2" fontId="1" fillId="2" borderId="0" xfId="3" applyNumberFormat="1" applyFont="1" applyFill="1" applyAlignment="1">
      <alignment horizontal="right" vertical="center"/>
    </xf>
    <xf numFmtId="38" fontId="8" fillId="2" borderId="0" xfId="4" applyNumberFormat="1" applyFont="1" applyFill="1" applyAlignment="1">
      <alignment horizontal="left" vertical="center"/>
    </xf>
    <xf numFmtId="38" fontId="3" fillId="2" borderId="0" xfId="4" applyNumberFormat="1" applyFont="1" applyFill="1" applyAlignment="1">
      <alignment vertical="center"/>
    </xf>
    <xf numFmtId="38" fontId="8" fillId="2" borderId="0" xfId="4" applyNumberFormat="1" applyFont="1" applyFill="1" applyAlignment="1">
      <alignment horizontal="right" vertical="center"/>
    </xf>
    <xf numFmtId="38" fontId="8" fillId="2" borderId="0" xfId="4" applyNumberFormat="1" applyFont="1" applyFill="1" applyAlignment="1">
      <alignment vertical="center"/>
    </xf>
    <xf numFmtId="172" fontId="8" fillId="2" borderId="0" xfId="3" applyNumberFormat="1" applyFont="1" applyFill="1" applyAlignment="1">
      <alignment horizontal="right" vertical="center"/>
    </xf>
    <xf numFmtId="172" fontId="3" fillId="2" borderId="0" xfId="3" applyNumberFormat="1" applyFont="1" applyFill="1" applyAlignment="1">
      <alignment vertical="center"/>
    </xf>
    <xf numFmtId="165" fontId="4" fillId="2" borderId="0" xfId="3" quotePrefix="1" applyNumberFormat="1" applyFont="1" applyFill="1" applyAlignment="1">
      <alignment horizontal="left" vertical="center"/>
    </xf>
    <xf numFmtId="165" fontId="4" fillId="2" borderId="0" xfId="3" applyNumberFormat="1" applyFont="1" applyFill="1" applyAlignment="1">
      <alignment horizontal="left" vertical="center"/>
    </xf>
    <xf numFmtId="165" fontId="4" fillId="2" borderId="0" xfId="3" applyNumberFormat="1" applyFont="1" applyFill="1" applyAlignment="1">
      <alignment horizontal="center" vertical="center"/>
    </xf>
    <xf numFmtId="1" fontId="5" fillId="2" borderId="0" xfId="3" quotePrefix="1" applyNumberFormat="1" applyFont="1" applyFill="1" applyAlignment="1">
      <alignment horizontal="left" vertical="center"/>
    </xf>
    <xf numFmtId="1" fontId="5" fillId="2" borderId="0" xfId="3" applyNumberFormat="1" applyFont="1" applyFill="1" applyAlignment="1">
      <alignment horizontal="left" vertical="center"/>
    </xf>
    <xf numFmtId="1" fontId="5" fillId="2" borderId="0" xfId="3" quotePrefix="1" applyNumberFormat="1" applyFont="1" applyFill="1" applyAlignment="1">
      <alignment horizontal="center" vertical="center"/>
    </xf>
    <xf numFmtId="1" fontId="9" fillId="2" borderId="0" xfId="3" applyNumberFormat="1" applyFont="1" applyFill="1" applyAlignment="1">
      <alignment horizontal="right" vertical="center"/>
    </xf>
    <xf numFmtId="1" fontId="8" fillId="2" borderId="0" xfId="3" applyNumberFormat="1" applyFont="1" applyFill="1"/>
    <xf numFmtId="1" fontId="5" fillId="2" borderId="0" xfId="3" applyNumberFormat="1" applyFont="1" applyFill="1" applyAlignment="1">
      <alignment vertical="center"/>
    </xf>
    <xf numFmtId="168" fontId="4" fillId="2" borderId="0" xfId="3" applyFont="1" applyFill="1" applyAlignment="1">
      <alignment horizontal="center" vertical="center"/>
    </xf>
    <xf numFmtId="168" fontId="3" fillId="2" borderId="0" xfId="3" applyFont="1" applyFill="1" applyAlignment="1">
      <alignment horizontal="center" vertical="center"/>
    </xf>
    <xf numFmtId="168" fontId="3" fillId="2" borderId="0" xfId="3" applyFont="1" applyFill="1" applyAlignment="1">
      <alignment horizontal="center"/>
    </xf>
    <xf numFmtId="165" fontId="7" fillId="2" borderId="0" xfId="3" applyNumberFormat="1" applyFont="1" applyFill="1" applyAlignment="1">
      <alignment vertical="center"/>
    </xf>
    <xf numFmtId="168" fontId="7" fillId="2" borderId="0" xfId="3" applyFont="1" applyFill="1" applyAlignment="1">
      <alignment horizontal="center" vertical="center"/>
    </xf>
    <xf numFmtId="165" fontId="7" fillId="2" borderId="0" xfId="3" applyNumberFormat="1" applyFont="1" applyFill="1" applyAlignment="1">
      <alignment horizontal="center" vertical="center"/>
    </xf>
    <xf numFmtId="168" fontId="1" fillId="2" borderId="0" xfId="3" applyFont="1" applyFill="1" applyAlignment="1">
      <alignment horizontal="right" vertical="center"/>
    </xf>
    <xf numFmtId="168" fontId="2" fillId="2" borderId="0" xfId="3" applyFont="1" applyFill="1" applyAlignment="1">
      <alignment horizontal="left" vertical="center"/>
    </xf>
    <xf numFmtId="2" fontId="23" fillId="2" borderId="0" xfId="3" applyNumberFormat="1" applyFont="1" applyFill="1" applyAlignment="1">
      <alignment horizontal="left" vertical="center"/>
    </xf>
    <xf numFmtId="168" fontId="2" fillId="2" borderId="0" xfId="3" applyFont="1" applyFill="1" applyAlignment="1">
      <alignment horizontal="center" vertical="center"/>
    </xf>
    <xf numFmtId="165" fontId="7" fillId="2" borderId="0" xfId="3" quotePrefix="1" applyNumberFormat="1" applyFont="1" applyFill="1" applyAlignment="1">
      <alignment horizontal="left" vertical="center"/>
    </xf>
    <xf numFmtId="2" fontId="5" fillId="2" borderId="5" xfId="3" applyNumberFormat="1" applyFont="1" applyFill="1" applyBorder="1" applyAlignment="1">
      <alignment horizontal="left" vertical="center"/>
    </xf>
    <xf numFmtId="168" fontId="3" fillId="2" borderId="5" xfId="3" applyFont="1" applyFill="1" applyBorder="1" applyAlignment="1">
      <alignment horizontal="center" vertical="center"/>
    </xf>
    <xf numFmtId="168" fontId="3" fillId="2" borderId="5" xfId="3" applyFont="1" applyFill="1" applyBorder="1" applyAlignment="1">
      <alignment horizontal="right" vertical="center"/>
    </xf>
    <xf numFmtId="168" fontId="8" fillId="2" borderId="0" xfId="3" applyFont="1" applyFill="1" applyAlignment="1">
      <alignment horizontal="center" vertical="center"/>
    </xf>
    <xf numFmtId="168" fontId="8" fillId="2" borderId="0" xfId="3" applyFont="1" applyFill="1" applyAlignment="1">
      <alignment horizontal="right"/>
    </xf>
    <xf numFmtId="168" fontId="8" fillId="2" borderId="0" xfId="3" quotePrefix="1" applyFont="1" applyFill="1" applyAlignment="1">
      <alignment horizontal="right"/>
    </xf>
    <xf numFmtId="2" fontId="8" fillId="2" borderId="0" xfId="3" applyNumberFormat="1" applyFont="1" applyFill="1" applyAlignment="1">
      <alignment horizontal="left"/>
    </xf>
    <xf numFmtId="168" fontId="8" fillId="2" borderId="0" xfId="3" applyFont="1" applyFill="1" applyAlignment="1">
      <alignment horizontal="center"/>
    </xf>
    <xf numFmtId="168" fontId="3" fillId="2" borderId="0" xfId="3" applyFont="1" applyFill="1"/>
    <xf numFmtId="168" fontId="19" fillId="2" borderId="0" xfId="3" quotePrefix="1" applyFont="1" applyFill="1" applyAlignment="1">
      <alignment horizontal="left" vertical="center"/>
    </xf>
    <xf numFmtId="2" fontId="19" fillId="2" borderId="0" xfId="3" applyNumberFormat="1" applyFont="1" applyFill="1" applyAlignment="1">
      <alignment horizontal="right" vertical="center"/>
    </xf>
    <xf numFmtId="2" fontId="26" fillId="2" borderId="0" xfId="3" applyNumberFormat="1" applyFont="1" applyFill="1" applyAlignment="1">
      <alignment horizontal="centerContinuous" vertical="center"/>
    </xf>
    <xf numFmtId="168" fontId="26" fillId="2" borderId="0" xfId="3" applyFont="1" applyFill="1"/>
    <xf numFmtId="2" fontId="3" fillId="2" borderId="0" xfId="3" applyNumberFormat="1" applyFont="1" applyFill="1" applyAlignment="1">
      <alignment horizontal="right"/>
    </xf>
    <xf numFmtId="2" fontId="5" fillId="2" borderId="0" xfId="3" applyNumberFormat="1" applyFont="1" applyFill="1" applyAlignment="1">
      <alignment horizontal="left" vertical="center"/>
    </xf>
    <xf numFmtId="168" fontId="26" fillId="2" borderId="0" xfId="3" applyFont="1" applyFill="1" applyAlignment="1">
      <alignment horizontal="centerContinuous" vertical="center"/>
    </xf>
    <xf numFmtId="168" fontId="3" fillId="2" borderId="5" xfId="3" applyFont="1" applyFill="1" applyBorder="1" applyAlignment="1">
      <alignment vertical="center"/>
    </xf>
    <xf numFmtId="168" fontId="8" fillId="2" borderId="5" xfId="3" applyFont="1" applyFill="1" applyBorder="1" applyAlignment="1">
      <alignment horizontal="right" vertical="center"/>
    </xf>
    <xf numFmtId="168" fontId="8" fillId="2" borderId="5" xfId="3" applyFont="1" applyFill="1" applyBorder="1"/>
    <xf numFmtId="1" fontId="5" fillId="2" borderId="5" xfId="3" quotePrefix="1" applyNumberFormat="1" applyFont="1" applyFill="1" applyBorder="1" applyAlignment="1">
      <alignment horizontal="center" vertical="center"/>
    </xf>
    <xf numFmtId="1" fontId="5" fillId="2" borderId="5" xfId="3" applyNumberFormat="1" applyFont="1" applyFill="1" applyBorder="1" applyAlignment="1">
      <alignment vertical="center"/>
    </xf>
    <xf numFmtId="1" fontId="5" fillId="2" borderId="5" xfId="3" applyNumberFormat="1" applyFont="1" applyFill="1" applyBorder="1" applyAlignment="1">
      <alignment horizontal="right" vertical="center"/>
    </xf>
    <xf numFmtId="1" fontId="9" fillId="2" borderId="5" xfId="3" applyNumberFormat="1" applyFont="1" applyFill="1" applyBorder="1" applyAlignment="1">
      <alignment horizontal="right" vertical="center"/>
    </xf>
    <xf numFmtId="168" fontId="2" fillId="2" borderId="5" xfId="3" applyFont="1" applyFill="1" applyBorder="1" applyAlignment="1">
      <alignment horizontal="left" vertical="center"/>
    </xf>
    <xf numFmtId="2" fontId="23" fillId="2" borderId="5" xfId="3" applyNumberFormat="1" applyFont="1" applyFill="1" applyBorder="1" applyAlignment="1">
      <alignment horizontal="left" vertical="center"/>
    </xf>
    <xf numFmtId="168" fontId="2" fillId="2" borderId="5" xfId="3" applyFont="1" applyFill="1" applyBorder="1" applyAlignment="1">
      <alignment horizontal="center" vertical="center"/>
    </xf>
    <xf numFmtId="168" fontId="1" fillId="2" borderId="5" xfId="3" applyFont="1" applyFill="1" applyBorder="1" applyAlignment="1">
      <alignment horizontal="right" vertical="center"/>
    </xf>
    <xf numFmtId="168" fontId="25" fillId="2" borderId="0" xfId="3" applyFont="1" applyFill="1" applyAlignment="1">
      <alignment horizontal="left" vertical="center"/>
    </xf>
    <xf numFmtId="168" fontId="28" fillId="2" borderId="0" xfId="3" applyFont="1" applyFill="1" applyAlignment="1">
      <alignment horizontal="left" vertical="center"/>
    </xf>
    <xf numFmtId="2" fontId="4" fillId="2" borderId="0" xfId="3" applyNumberFormat="1" applyFont="1" applyFill="1" applyAlignment="1">
      <alignment horizontal="left"/>
    </xf>
    <xf numFmtId="168" fontId="8" fillId="2" borderId="0" xfId="3" applyFont="1" applyFill="1" applyAlignment="1">
      <alignment horizontal="left"/>
    </xf>
    <xf numFmtId="0" fontId="8" fillId="2" borderId="0" xfId="3" applyNumberFormat="1" applyFont="1" applyFill="1" applyAlignment="1">
      <alignment horizontal="left" vertical="center"/>
    </xf>
    <xf numFmtId="168" fontId="1" fillId="2" borderId="6" xfId="3" applyFont="1" applyFill="1" applyBorder="1" applyAlignment="1">
      <alignment horizontal="right" vertical="center"/>
    </xf>
    <xf numFmtId="2" fontId="8" fillId="2" borderId="6" xfId="3" applyNumberFormat="1" applyFont="1" applyFill="1" applyBorder="1" applyAlignment="1">
      <alignment horizontal="right"/>
    </xf>
    <xf numFmtId="168" fontId="16" fillId="0" borderId="9" xfId="3" applyBorder="1"/>
    <xf numFmtId="168" fontId="8" fillId="2" borderId="9" xfId="3" applyFont="1" applyFill="1" applyBorder="1"/>
    <xf numFmtId="168" fontId="26" fillId="2" borderId="9" xfId="3" applyFont="1" applyFill="1" applyBorder="1"/>
    <xf numFmtId="165" fontId="8" fillId="2" borderId="9" xfId="3" applyNumberFormat="1" applyFont="1" applyFill="1" applyBorder="1"/>
    <xf numFmtId="1" fontId="8" fillId="2" borderId="9" xfId="3" applyNumberFormat="1" applyFont="1" applyFill="1" applyBorder="1"/>
    <xf numFmtId="168" fontId="3" fillId="2" borderId="9" xfId="3" applyFont="1" applyFill="1" applyBorder="1"/>
    <xf numFmtId="0" fontId="0" fillId="0" borderId="9" xfId="0" applyBorder="1"/>
    <xf numFmtId="165" fontId="8" fillId="5" borderId="0" xfId="3" applyNumberFormat="1" applyFont="1" applyFill="1" applyAlignment="1">
      <alignment horizontal="right"/>
    </xf>
    <xf numFmtId="168" fontId="16" fillId="0" borderId="0" xfId="3"/>
    <xf numFmtId="168" fontId="39" fillId="2" borderId="0" xfId="3" applyFont="1" applyFill="1" applyAlignment="1">
      <alignment vertical="center"/>
    </xf>
    <xf numFmtId="168" fontId="40" fillId="2" borderId="0" xfId="3" applyFont="1" applyFill="1" applyAlignment="1">
      <alignment vertical="center"/>
    </xf>
    <xf numFmtId="2" fontId="41" fillId="2" borderId="0" xfId="3" applyNumberFormat="1" applyFont="1" applyFill="1" applyAlignment="1">
      <alignment horizontal="left" vertical="center"/>
    </xf>
    <xf numFmtId="2" fontId="25" fillId="2" borderId="0" xfId="3" applyNumberFormat="1" applyFont="1" applyFill="1" applyAlignment="1">
      <alignment vertical="center"/>
    </xf>
    <xf numFmtId="165" fontId="41" fillId="2" borderId="0" xfId="3" applyNumberFormat="1" applyFont="1" applyFill="1" applyAlignment="1">
      <alignment horizontal="left" vertical="center"/>
    </xf>
    <xf numFmtId="174" fontId="41" fillId="2" borderId="0" xfId="3" applyNumberFormat="1" applyFont="1" applyFill="1" applyAlignment="1">
      <alignment horizontal="left" vertical="center"/>
    </xf>
    <xf numFmtId="168" fontId="25" fillId="2" borderId="0" xfId="3" applyFont="1" applyFill="1" applyAlignment="1">
      <alignment horizontal="right"/>
    </xf>
    <xf numFmtId="168" fontId="19" fillId="2" borderId="0" xfId="3" applyFont="1" applyFill="1" applyAlignment="1">
      <alignment vertical="center"/>
    </xf>
    <xf numFmtId="2" fontId="43" fillId="2" borderId="0" xfId="3" applyNumberFormat="1" applyFont="1" applyFill="1" applyAlignment="1">
      <alignment horizontal="left" vertical="center"/>
    </xf>
    <xf numFmtId="168" fontId="3" fillId="2" borderId="0" xfId="3" applyFont="1" applyFill="1" applyAlignment="1">
      <alignment horizontal="left" vertical="center"/>
    </xf>
    <xf numFmtId="168" fontId="8" fillId="2" borderId="5" xfId="3" applyFont="1" applyFill="1" applyBorder="1" applyAlignment="1">
      <alignment horizontal="left" vertical="center"/>
    </xf>
    <xf numFmtId="168" fontId="8" fillId="2" borderId="5" xfId="3" applyFont="1" applyFill="1" applyBorder="1" applyAlignment="1">
      <alignment vertical="center"/>
    </xf>
    <xf numFmtId="2" fontId="8" fillId="2" borderId="5" xfId="3" applyNumberFormat="1" applyFont="1" applyFill="1" applyBorder="1" applyAlignment="1">
      <alignment vertical="center"/>
    </xf>
    <xf numFmtId="165" fontId="8" fillId="2" borderId="5" xfId="3" applyNumberFormat="1" applyFont="1" applyFill="1" applyBorder="1" applyAlignment="1">
      <alignment vertical="center"/>
    </xf>
    <xf numFmtId="174" fontId="8" fillId="2" borderId="5" xfId="3" applyNumberFormat="1" applyFont="1" applyFill="1" applyBorder="1" applyAlignment="1">
      <alignment vertical="center"/>
    </xf>
    <xf numFmtId="2" fontId="9" fillId="2" borderId="5" xfId="3" applyNumberFormat="1" applyFont="1" applyFill="1" applyBorder="1" applyAlignment="1">
      <alignment vertical="center"/>
    </xf>
    <xf numFmtId="168" fontId="8" fillId="2" borderId="0" xfId="3" applyFont="1" applyFill="1" applyAlignment="1">
      <alignment vertical="center"/>
    </xf>
    <xf numFmtId="168" fontId="20" fillId="2" borderId="0" xfId="3" applyFont="1" applyFill="1" applyAlignment="1">
      <alignment horizontal="left" vertical="center"/>
    </xf>
    <xf numFmtId="168" fontId="20" fillId="2" borderId="0" xfId="3" applyFont="1" applyFill="1" applyAlignment="1">
      <alignment vertical="center"/>
    </xf>
    <xf numFmtId="2" fontId="20" fillId="2" borderId="0" xfId="3" applyNumberFormat="1" applyFont="1" applyFill="1" applyAlignment="1">
      <alignment vertical="center"/>
    </xf>
    <xf numFmtId="165" fontId="20" fillId="2" borderId="0" xfId="3" applyNumberFormat="1" applyFont="1" applyFill="1" applyAlignment="1">
      <alignment vertical="center"/>
    </xf>
    <xf numFmtId="174" fontId="20" fillId="2" borderId="0" xfId="3" applyNumberFormat="1" applyFont="1" applyFill="1" applyAlignment="1">
      <alignment vertical="center"/>
    </xf>
    <xf numFmtId="2" fontId="5" fillId="2" borderId="0" xfId="3" applyNumberFormat="1" applyFont="1" applyFill="1" applyAlignment="1">
      <alignment vertical="center"/>
    </xf>
    <xf numFmtId="5" fontId="20" fillId="2" borderId="0" xfId="3" applyNumberFormat="1" applyFont="1" applyFill="1" applyAlignment="1">
      <alignment horizontal="right" vertical="center"/>
    </xf>
    <xf numFmtId="2" fontId="20" fillId="2" borderId="0" xfId="3" applyNumberFormat="1" applyFont="1" applyFill="1" applyAlignment="1">
      <alignment horizontal="right" vertical="center"/>
    </xf>
    <xf numFmtId="2" fontId="31" fillId="2" borderId="0" xfId="3" applyNumberFormat="1" applyFont="1" applyFill="1" applyAlignment="1">
      <alignment vertical="center"/>
    </xf>
    <xf numFmtId="165" fontId="34" fillId="2" borderId="0" xfId="3" applyNumberFormat="1" applyFont="1" applyFill="1" applyAlignment="1">
      <alignment horizontal="right" vertical="center"/>
    </xf>
    <xf numFmtId="174" fontId="34" fillId="2" borderId="0" xfId="3" applyNumberFormat="1" applyFont="1" applyFill="1" applyAlignment="1">
      <alignment horizontal="right" vertical="center"/>
    </xf>
    <xf numFmtId="172" fontId="34" fillId="2" borderId="0" xfId="3" applyNumberFormat="1" applyFont="1" applyFill="1" applyAlignment="1">
      <alignment horizontal="right" vertical="center"/>
    </xf>
    <xf numFmtId="168" fontId="20" fillId="2" borderId="0" xfId="3" applyFont="1" applyFill="1" applyAlignment="1">
      <alignment horizontal="right" vertical="center"/>
    </xf>
    <xf numFmtId="165" fontId="34" fillId="2" borderId="0" xfId="3" quotePrefix="1" applyNumberFormat="1" applyFont="1" applyFill="1" applyAlignment="1">
      <alignment horizontal="right" vertical="center"/>
    </xf>
    <xf numFmtId="174" fontId="20" fillId="2" borderId="0" xfId="3" applyNumberFormat="1" applyFont="1" applyFill="1" applyAlignment="1">
      <alignment horizontal="right" vertical="center"/>
    </xf>
    <xf numFmtId="168" fontId="34" fillId="2" borderId="0" xfId="3" applyFont="1" applyFill="1" applyAlignment="1">
      <alignment horizontal="right" vertical="center"/>
    </xf>
    <xf numFmtId="1" fontId="34" fillId="2" borderId="0" xfId="3" applyNumberFormat="1" applyFont="1" applyFill="1" applyAlignment="1">
      <alignment horizontal="right" vertical="center"/>
    </xf>
    <xf numFmtId="165" fontId="8" fillId="2" borderId="5" xfId="3" applyNumberFormat="1" applyFont="1" applyFill="1" applyBorder="1" applyAlignment="1">
      <alignment horizontal="right" vertical="center"/>
    </xf>
    <xf numFmtId="174" fontId="8" fillId="2" borderId="5" xfId="3" applyNumberFormat="1" applyFont="1" applyFill="1" applyBorder="1" applyAlignment="1">
      <alignment horizontal="right" vertical="center"/>
    </xf>
    <xf numFmtId="168" fontId="8" fillId="2" borderId="0" xfId="3" applyFont="1" applyFill="1" applyAlignment="1">
      <alignment horizontal="left" vertical="center"/>
    </xf>
    <xf numFmtId="168" fontId="8" fillId="2" borderId="0" xfId="3" applyFont="1" applyFill="1" applyAlignment="1">
      <alignment horizontal="right" vertical="center"/>
    </xf>
    <xf numFmtId="2" fontId="8" fillId="2" borderId="0" xfId="3" applyNumberFormat="1" applyFont="1" applyFill="1" applyAlignment="1">
      <alignment horizontal="right" vertical="center"/>
    </xf>
    <xf numFmtId="165" fontId="8" fillId="2" borderId="0" xfId="3" applyNumberFormat="1" applyFont="1" applyFill="1" applyAlignment="1">
      <alignment horizontal="right" vertical="center"/>
    </xf>
    <xf numFmtId="174" fontId="8" fillId="2" borderId="0" xfId="3" applyNumberFormat="1" applyFont="1" applyFill="1" applyAlignment="1">
      <alignment horizontal="right" vertical="center"/>
    </xf>
    <xf numFmtId="2" fontId="9" fillId="2" borderId="0" xfId="3" applyNumberFormat="1" applyFont="1" applyFill="1" applyAlignment="1">
      <alignment horizontal="right" vertical="center"/>
    </xf>
    <xf numFmtId="168" fontId="42" fillId="2" borderId="0" xfId="3" applyFont="1" applyFill="1" applyAlignment="1">
      <alignment horizontal="left" vertical="center"/>
    </xf>
    <xf numFmtId="168" fontId="42" fillId="2" borderId="0" xfId="3" applyFont="1" applyFill="1"/>
    <xf numFmtId="3" fontId="26" fillId="2" borderId="0" xfId="3" applyNumberFormat="1" applyFont="1" applyFill="1" applyAlignment="1">
      <alignment horizontal="right"/>
    </xf>
    <xf numFmtId="168" fontId="26" fillId="2" borderId="0" xfId="3" applyFont="1" applyFill="1" applyAlignment="1">
      <alignment vertical="center"/>
    </xf>
    <xf numFmtId="165" fontId="26" fillId="2" borderId="0" xfId="3" applyNumberFormat="1" applyFont="1" applyFill="1" applyAlignment="1">
      <alignment horizontal="right"/>
    </xf>
    <xf numFmtId="174" fontId="44" fillId="2" borderId="0" xfId="3" applyNumberFormat="1" applyFont="1" applyFill="1"/>
    <xf numFmtId="168" fontId="45" fillId="2" borderId="0" xfId="3" applyFont="1" applyFill="1" applyAlignment="1">
      <alignment vertical="center"/>
    </xf>
    <xf numFmtId="168" fontId="3" fillId="2" borderId="5" xfId="3" applyFont="1" applyFill="1" applyBorder="1"/>
    <xf numFmtId="168" fontId="3" fillId="2" borderId="5" xfId="3" applyFont="1" applyFill="1" applyBorder="1" applyAlignment="1">
      <alignment horizontal="left" vertical="center"/>
    </xf>
    <xf numFmtId="168" fontId="9" fillId="2" borderId="5" xfId="3" applyFont="1" applyFill="1" applyBorder="1" applyAlignment="1">
      <alignment vertical="center"/>
    </xf>
    <xf numFmtId="165" fontId="8" fillId="2" borderId="0" xfId="3" applyNumberFormat="1" applyFont="1" applyFill="1" applyAlignment="1">
      <alignment vertical="center"/>
    </xf>
    <xf numFmtId="174" fontId="8" fillId="2" borderId="0" xfId="3" applyNumberFormat="1" applyFont="1" applyFill="1" applyAlignment="1">
      <alignment vertical="center"/>
    </xf>
    <xf numFmtId="168" fontId="9" fillId="2" borderId="0" xfId="3" applyFont="1" applyFill="1" applyAlignment="1">
      <alignment vertical="center"/>
    </xf>
    <xf numFmtId="168" fontId="26" fillId="2" borderId="0" xfId="3" applyFont="1" applyFill="1" applyAlignment="1">
      <alignment horizontal="left" vertical="center"/>
    </xf>
    <xf numFmtId="168" fontId="27" fillId="2" borderId="0" xfId="3" applyFont="1" applyFill="1" applyAlignment="1">
      <alignment horizontal="left" vertical="center"/>
    </xf>
    <xf numFmtId="168" fontId="27" fillId="2" borderId="0" xfId="3" applyFont="1" applyFill="1" applyAlignment="1">
      <alignment horizontal="centerContinuous" vertical="center"/>
    </xf>
    <xf numFmtId="168" fontId="27" fillId="2" borderId="0" xfId="3" applyFont="1" applyFill="1" applyAlignment="1">
      <alignment vertical="center"/>
    </xf>
    <xf numFmtId="165" fontId="26" fillId="2" borderId="0" xfId="3" applyNumberFormat="1" applyFont="1" applyFill="1" applyAlignment="1">
      <alignment vertical="center"/>
    </xf>
    <xf numFmtId="174" fontId="26" fillId="2" borderId="0" xfId="3" applyNumberFormat="1" applyFont="1" applyFill="1" applyAlignment="1">
      <alignment vertical="center"/>
    </xf>
    <xf numFmtId="168" fontId="4" fillId="2" borderId="0" xfId="3" applyFont="1" applyFill="1" applyAlignment="1">
      <alignment horizontal="left" vertical="center"/>
    </xf>
    <xf numFmtId="168" fontId="4" fillId="2" borderId="0" xfId="3" applyFont="1" applyFill="1" applyAlignment="1">
      <alignment horizontal="centerContinuous" vertical="center"/>
    </xf>
    <xf numFmtId="168" fontId="4" fillId="2" borderId="0" xfId="3" applyFont="1" applyFill="1" applyAlignment="1">
      <alignment vertical="center"/>
    </xf>
    <xf numFmtId="172" fontId="8" fillId="2" borderId="0" xfId="3" applyNumberFormat="1" applyFont="1" applyFill="1" applyAlignment="1">
      <alignment vertical="center"/>
    </xf>
    <xf numFmtId="168" fontId="7" fillId="2" borderId="0" xfId="3" quotePrefix="1" applyFont="1" applyFill="1" applyAlignment="1">
      <alignment horizontal="left" vertical="center"/>
    </xf>
    <xf numFmtId="2" fontId="7" fillId="2" borderId="0" xfId="3" applyNumberFormat="1" applyFont="1" applyFill="1" applyAlignment="1">
      <alignment horizontal="left" vertical="center"/>
    </xf>
    <xf numFmtId="168" fontId="7" fillId="2" borderId="0" xfId="3" applyFont="1" applyFill="1" applyAlignment="1">
      <alignment vertical="center"/>
    </xf>
    <xf numFmtId="2" fontId="7" fillId="2" borderId="0" xfId="3" applyNumberFormat="1" applyFont="1" applyFill="1"/>
    <xf numFmtId="165" fontId="1" fillId="2" borderId="0" xfId="3" applyNumberFormat="1" applyFont="1" applyFill="1"/>
    <xf numFmtId="174" fontId="1" fillId="2" borderId="0" xfId="3" applyNumberFormat="1" applyFont="1" applyFill="1"/>
    <xf numFmtId="2" fontId="8" fillId="2" borderId="0" xfId="3" quotePrefix="1" applyNumberFormat="1" applyFont="1" applyFill="1" applyAlignment="1">
      <alignment horizontal="left" vertical="center"/>
    </xf>
    <xf numFmtId="2" fontId="8" fillId="2" borderId="0" xfId="3" applyNumberFormat="1" applyFont="1" applyFill="1"/>
    <xf numFmtId="165" fontId="8" fillId="2" borderId="0" xfId="3" applyNumberFormat="1" applyFont="1" applyFill="1"/>
    <xf numFmtId="174" fontId="8" fillId="2" borderId="0" xfId="3" applyNumberFormat="1" applyFont="1" applyFill="1"/>
    <xf numFmtId="168" fontId="9" fillId="2" borderId="0" xfId="3" applyFont="1" applyFill="1"/>
    <xf numFmtId="168" fontId="8" fillId="2" borderId="0" xfId="3" quotePrefix="1" applyFont="1" applyFill="1" applyAlignment="1">
      <alignment horizontal="left" vertical="center"/>
    </xf>
    <xf numFmtId="2" fontId="8" fillId="2" borderId="0" xfId="3" applyNumberFormat="1" applyFont="1" applyFill="1" applyAlignment="1">
      <alignment horizontal="left" vertical="center"/>
    </xf>
    <xf numFmtId="165" fontId="8" fillId="2" borderId="0" xfId="3" applyNumberFormat="1" applyFont="1" applyFill="1" applyAlignment="1">
      <alignment horizontal="right"/>
    </xf>
    <xf numFmtId="174" fontId="8" fillId="2" borderId="0" xfId="3" applyNumberFormat="1" applyFont="1" applyFill="1" applyAlignment="1">
      <alignment horizontal="right"/>
    </xf>
    <xf numFmtId="172" fontId="9" fillId="2" borderId="0" xfId="3" applyNumberFormat="1" applyFont="1" applyFill="1" applyAlignment="1">
      <alignment horizontal="right"/>
    </xf>
    <xf numFmtId="168" fontId="20" fillId="2" borderId="0" xfId="3" quotePrefix="1" applyFont="1" applyFill="1" applyAlignment="1">
      <alignment horizontal="left" vertical="center"/>
    </xf>
    <xf numFmtId="2" fontId="20" fillId="2" borderId="0" xfId="3" applyNumberFormat="1" applyFont="1" applyFill="1" applyAlignment="1">
      <alignment horizontal="left" vertical="center"/>
    </xf>
    <xf numFmtId="2" fontId="20" fillId="2" borderId="0" xfId="3" applyNumberFormat="1" applyFont="1" applyFill="1"/>
    <xf numFmtId="172" fontId="5" fillId="2" borderId="0" xfId="3" applyNumberFormat="1" applyFont="1" applyFill="1" applyAlignment="1">
      <alignment vertical="center"/>
    </xf>
    <xf numFmtId="168" fontId="20" fillId="2" borderId="0" xfId="3" applyFont="1" applyFill="1" applyAlignment="1">
      <alignment vertical="top"/>
    </xf>
    <xf numFmtId="168" fontId="20" fillId="2" borderId="0" xfId="3" applyFont="1" applyFill="1"/>
    <xf numFmtId="168" fontId="20" fillId="2" borderId="0" xfId="3" applyFont="1" applyFill="1" applyAlignment="1">
      <alignment horizontal="left" vertical="top"/>
    </xf>
    <xf numFmtId="172" fontId="9" fillId="2" borderId="0" xfId="3" applyNumberFormat="1" applyFont="1" applyFill="1"/>
    <xf numFmtId="2" fontId="20" fillId="2" borderId="0" xfId="3" applyNumberFormat="1" applyFont="1" applyFill="1" applyAlignment="1">
      <alignment horizontal="left" vertical="top"/>
    </xf>
    <xf numFmtId="168" fontId="20" fillId="2" borderId="0" xfId="3" applyFont="1" applyFill="1" applyAlignment="1">
      <alignment horizontal="centerContinuous" vertical="center"/>
    </xf>
    <xf numFmtId="172" fontId="20" fillId="2" borderId="0" xfId="3" applyNumberFormat="1" applyFont="1" applyFill="1" applyAlignment="1">
      <alignment vertical="center"/>
    </xf>
    <xf numFmtId="168" fontId="20" fillId="2" borderId="0" xfId="3" quotePrefix="1" applyFont="1" applyFill="1" applyAlignment="1">
      <alignment horizontal="left" vertical="top"/>
    </xf>
    <xf numFmtId="168" fontId="20" fillId="2" borderId="5" xfId="3" quotePrefix="1" applyFont="1" applyFill="1" applyBorder="1" applyAlignment="1">
      <alignment horizontal="left" vertical="center"/>
    </xf>
    <xf numFmtId="168" fontId="20" fillId="2" borderId="5" xfId="3" applyFont="1" applyFill="1" applyBorder="1" applyAlignment="1">
      <alignment horizontal="left" vertical="center"/>
    </xf>
    <xf numFmtId="168" fontId="20" fillId="2" borderId="5" xfId="3" applyFont="1" applyFill="1" applyBorder="1" applyAlignment="1">
      <alignment vertical="center"/>
    </xf>
    <xf numFmtId="2" fontId="20" fillId="2" borderId="5" xfId="3" applyNumberFormat="1" applyFont="1" applyFill="1" applyBorder="1"/>
    <xf numFmtId="168" fontId="20" fillId="2" borderId="5" xfId="3" applyFont="1" applyFill="1" applyBorder="1" applyAlignment="1">
      <alignment vertical="top"/>
    </xf>
    <xf numFmtId="165" fontId="20" fillId="2" borderId="0" xfId="3" applyNumberFormat="1" applyFont="1" applyFill="1" applyAlignment="1">
      <alignment horizontal="right"/>
    </xf>
    <xf numFmtId="174" fontId="20" fillId="2" borderId="0" xfId="3" applyNumberFormat="1" applyFont="1" applyFill="1" applyAlignment="1">
      <alignment horizontal="right"/>
    </xf>
    <xf numFmtId="172" fontId="5" fillId="2" borderId="0" xfId="3" applyNumberFormat="1" applyFont="1" applyFill="1" applyAlignment="1">
      <alignment horizontal="right"/>
    </xf>
    <xf numFmtId="168" fontId="8" fillId="2" borderId="0" xfId="3" quotePrefix="1" applyFont="1" applyFill="1" applyAlignment="1">
      <alignment horizontal="left"/>
    </xf>
    <xf numFmtId="2" fontId="18" fillId="2" borderId="0" xfId="3" applyNumberFormat="1" applyFont="1" applyFill="1" applyAlignment="1">
      <alignment horizontal="left" vertical="center"/>
    </xf>
    <xf numFmtId="2" fontId="19" fillId="2" borderId="0" xfId="3" applyNumberFormat="1" applyFont="1" applyFill="1" applyAlignment="1">
      <alignment vertical="center"/>
    </xf>
    <xf numFmtId="1" fontId="25" fillId="2" borderId="0" xfId="3" applyNumberFormat="1" applyFont="1" applyFill="1" applyAlignment="1">
      <alignment horizontal="right" vertical="center"/>
    </xf>
    <xf numFmtId="168" fontId="31" fillId="2" borderId="0" xfId="3" applyFont="1" applyFill="1" applyAlignment="1">
      <alignment horizontal="left" vertical="center"/>
    </xf>
    <xf numFmtId="5" fontId="31" fillId="2" borderId="0" xfId="3" applyNumberFormat="1" applyFont="1" applyFill="1" applyAlignment="1">
      <alignment horizontal="right" vertical="center"/>
    </xf>
    <xf numFmtId="2" fontId="31" fillId="2" borderId="0" xfId="3" applyNumberFormat="1" applyFont="1" applyFill="1" applyAlignment="1">
      <alignment horizontal="right" vertical="center"/>
    </xf>
    <xf numFmtId="168" fontId="31" fillId="2" borderId="0" xfId="3" applyFont="1" applyFill="1" applyAlignment="1">
      <alignment horizontal="right" vertical="center"/>
    </xf>
    <xf numFmtId="2" fontId="7" fillId="2" borderId="0" xfId="3" quotePrefix="1" applyNumberFormat="1" applyFont="1" applyFill="1" applyAlignment="1">
      <alignment horizontal="left" vertical="center"/>
    </xf>
    <xf numFmtId="168" fontId="2" fillId="2" borderId="0" xfId="3" applyFont="1" applyFill="1"/>
    <xf numFmtId="2" fontId="1" fillId="2" borderId="0" xfId="3" applyNumberFormat="1" applyFont="1" applyFill="1"/>
    <xf numFmtId="168" fontId="3" fillId="2" borderId="0" xfId="3" applyFont="1" applyFill="1" applyAlignment="1">
      <alignment vertical="center"/>
    </xf>
    <xf numFmtId="168" fontId="4" fillId="2" borderId="0" xfId="3" quotePrefix="1" applyFont="1" applyFill="1" applyAlignment="1">
      <alignment horizontal="left" vertical="center"/>
    </xf>
    <xf numFmtId="2" fontId="4" fillId="2" borderId="0" xfId="3" quotePrefix="1" applyNumberFormat="1" applyFont="1" applyFill="1" applyAlignment="1">
      <alignment horizontal="left" vertical="center"/>
    </xf>
    <xf numFmtId="168" fontId="7" fillId="2" borderId="0" xfId="3" applyFont="1" applyFill="1" applyAlignment="1">
      <alignment horizontal="left" vertical="center"/>
    </xf>
    <xf numFmtId="168" fontId="7" fillId="2" borderId="0" xfId="3" applyFont="1" applyFill="1"/>
    <xf numFmtId="165" fontId="1" fillId="2" borderId="0" xfId="3" applyNumberFormat="1" applyFont="1" applyFill="1" applyAlignment="1">
      <alignment horizontal="right"/>
    </xf>
    <xf numFmtId="174" fontId="1" fillId="2" borderId="0" xfId="3" applyNumberFormat="1" applyFont="1" applyFill="1" applyAlignment="1">
      <alignment horizontal="right"/>
    </xf>
    <xf numFmtId="168" fontId="8" fillId="2" borderId="0" xfId="3" quotePrefix="1" applyFont="1" applyFill="1" applyAlignment="1">
      <alignment horizontal="left" vertical="top"/>
    </xf>
    <xf numFmtId="0" fontId="8" fillId="2" borderId="0" xfId="3" applyNumberFormat="1" applyFont="1" applyFill="1" applyAlignment="1">
      <alignment horizontal="right"/>
    </xf>
    <xf numFmtId="168" fontId="1" fillId="2" borderId="0" xfId="3" quotePrefix="1" applyFont="1" applyFill="1" applyAlignment="1">
      <alignment horizontal="left" vertical="center"/>
    </xf>
    <xf numFmtId="2" fontId="1" fillId="2" borderId="0" xfId="3" applyNumberFormat="1" applyFont="1" applyFill="1" applyAlignment="1">
      <alignment horizontal="left" vertical="center"/>
    </xf>
    <xf numFmtId="168" fontId="1" fillId="2" borderId="0" xfId="3" applyFont="1" applyFill="1"/>
    <xf numFmtId="2" fontId="4" fillId="2" borderId="0" xfId="3" applyNumberFormat="1" applyFont="1" applyFill="1" applyAlignment="1">
      <alignment horizontal="left" vertical="center"/>
    </xf>
    <xf numFmtId="168" fontId="8" fillId="2" borderId="0" xfId="3" quotePrefix="1" applyFont="1" applyFill="1" applyAlignment="1">
      <alignment horizontal="left" vertical="top" wrapText="1"/>
    </xf>
    <xf numFmtId="168" fontId="4" fillId="2" borderId="6" xfId="3" applyFont="1" applyFill="1" applyBorder="1" applyAlignment="1">
      <alignment vertical="center"/>
    </xf>
    <xf numFmtId="168" fontId="20" fillId="2" borderId="6" xfId="3" applyFont="1" applyFill="1" applyBorder="1" applyAlignment="1">
      <alignment horizontal="left" vertical="center"/>
    </xf>
    <xf numFmtId="168" fontId="20" fillId="2" borderId="6" xfId="3" quotePrefix="1" applyFont="1" applyFill="1" applyBorder="1" applyAlignment="1">
      <alignment horizontal="left" vertical="top"/>
    </xf>
    <xf numFmtId="168" fontId="20" fillId="2" borderId="6" xfId="3" applyFont="1" applyFill="1" applyBorder="1"/>
    <xf numFmtId="2" fontId="8" fillId="2" borderId="0" xfId="3" applyNumberFormat="1" applyFont="1" applyFill="1" applyAlignment="1">
      <alignment vertical="center"/>
    </xf>
    <xf numFmtId="168" fontId="4" fillId="2" borderId="0" xfId="3" applyFont="1" applyFill="1"/>
    <xf numFmtId="2" fontId="4" fillId="2" borderId="0" xfId="3" applyNumberFormat="1" applyFont="1" applyFill="1"/>
    <xf numFmtId="165" fontId="7" fillId="2" borderId="0" xfId="3" applyNumberFormat="1" applyFont="1" applyFill="1" applyAlignment="1">
      <alignment horizontal="left" vertical="center"/>
    </xf>
    <xf numFmtId="168" fontId="7" fillId="2" borderId="0" xfId="3" applyFont="1" applyFill="1" applyAlignment="1">
      <alignment vertical="top"/>
    </xf>
    <xf numFmtId="172" fontId="9" fillId="2" borderId="0" xfId="3" applyNumberFormat="1" applyFont="1" applyFill="1" applyAlignment="1">
      <alignment horizontal="right" vertical="center"/>
    </xf>
    <xf numFmtId="168" fontId="5" fillId="2" borderId="0" xfId="3" applyFont="1" applyFill="1" applyAlignment="1">
      <alignment horizontal="left" vertical="center"/>
    </xf>
    <xf numFmtId="1" fontId="8" fillId="2" borderId="0" xfId="3" applyNumberFormat="1" applyFont="1" applyFill="1" applyAlignment="1">
      <alignment horizontal="right" vertical="center"/>
    </xf>
    <xf numFmtId="172" fontId="9" fillId="2" borderId="0" xfId="3" applyNumberFormat="1" applyFont="1" applyFill="1" applyAlignment="1">
      <alignment vertical="center"/>
    </xf>
    <xf numFmtId="3" fontId="8" fillId="2" borderId="0" xfId="3" applyNumberFormat="1" applyFont="1" applyFill="1" applyAlignment="1">
      <alignment horizontal="right" vertical="center"/>
    </xf>
    <xf numFmtId="168" fontId="7" fillId="2" borderId="0" xfId="3" quotePrefix="1" applyFont="1" applyFill="1" applyAlignment="1">
      <alignment horizontal="left" vertical="top"/>
    </xf>
    <xf numFmtId="168" fontId="4" fillId="2" borderId="0" xfId="3" quotePrefix="1" applyFont="1" applyFill="1" applyAlignment="1">
      <alignment horizontal="left" vertical="top"/>
    </xf>
    <xf numFmtId="168" fontId="8" fillId="2" borderId="0" xfId="3" applyFont="1" applyFill="1" applyAlignment="1">
      <alignment horizontal="left" vertical="top"/>
    </xf>
    <xf numFmtId="168" fontId="20" fillId="2" borderId="5" xfId="3" applyFont="1" applyFill="1" applyBorder="1"/>
    <xf numFmtId="168" fontId="4" fillId="2" borderId="5" xfId="3" quotePrefix="1" applyFont="1" applyFill="1" applyBorder="1" applyAlignment="1">
      <alignment horizontal="left" vertical="top"/>
    </xf>
    <xf numFmtId="168" fontId="4" fillId="2" borderId="5" xfId="3" applyFont="1" applyFill="1" applyBorder="1" applyAlignment="1">
      <alignment vertical="center"/>
    </xf>
    <xf numFmtId="168" fontId="34" fillId="2" borderId="0" xfId="3" applyFont="1" applyFill="1" applyAlignment="1">
      <alignment vertical="center"/>
    </xf>
    <xf numFmtId="172" fontId="20" fillId="2" borderId="0" xfId="3" quotePrefix="1" applyNumberFormat="1" applyFont="1" applyFill="1" applyAlignment="1">
      <alignment horizontal="left" vertical="center" wrapText="1"/>
    </xf>
    <xf numFmtId="2" fontId="7" fillId="2" borderId="0" xfId="3" applyNumberFormat="1" applyFont="1" applyFill="1" applyAlignment="1">
      <alignment vertical="center"/>
    </xf>
    <xf numFmtId="165" fontId="1" fillId="2" borderId="0" xfId="3" applyNumberFormat="1" applyFont="1" applyFill="1" applyAlignment="1">
      <alignment vertical="center"/>
    </xf>
    <xf numFmtId="174" fontId="1" fillId="2" borderId="0" xfId="3" applyNumberFormat="1" applyFont="1" applyFill="1" applyAlignment="1">
      <alignment vertical="center"/>
    </xf>
    <xf numFmtId="168" fontId="20" fillId="2" borderId="0" xfId="3" quotePrefix="1" applyFont="1" applyFill="1" applyAlignment="1">
      <alignment horizontal="left" vertical="center" wrapText="1"/>
    </xf>
    <xf numFmtId="2" fontId="9" fillId="2" borderId="0" xfId="3" applyNumberFormat="1" applyFont="1" applyFill="1" applyAlignment="1">
      <alignment vertical="center"/>
    </xf>
    <xf numFmtId="168" fontId="8" fillId="2" borderId="0" xfId="3" applyFont="1" applyFill="1" applyAlignment="1">
      <alignment horizontal="centerContinuous" vertical="center"/>
    </xf>
    <xf numFmtId="2" fontId="20" fillId="2" borderId="5" xfId="3" applyNumberFormat="1" applyFont="1" applyFill="1" applyBorder="1" applyAlignment="1">
      <alignment horizontal="left" vertical="center"/>
    </xf>
    <xf numFmtId="2" fontId="20" fillId="2" borderId="5" xfId="3" applyNumberFormat="1" applyFont="1" applyFill="1" applyBorder="1" applyAlignment="1">
      <alignment vertical="center"/>
    </xf>
    <xf numFmtId="165" fontId="20" fillId="2" borderId="5" xfId="3" applyNumberFormat="1" applyFont="1" applyFill="1" applyBorder="1" applyAlignment="1">
      <alignment horizontal="right" vertical="center"/>
    </xf>
    <xf numFmtId="174" fontId="20" fillId="2" borderId="5" xfId="3" applyNumberFormat="1" applyFont="1" applyFill="1" applyBorder="1" applyAlignment="1">
      <alignment horizontal="right" vertical="center"/>
    </xf>
    <xf numFmtId="172" fontId="20" fillId="2" borderId="0" xfId="3" applyNumberFormat="1" applyFont="1" applyFill="1" applyAlignment="1">
      <alignment horizontal="left" vertical="center"/>
    </xf>
    <xf numFmtId="165" fontId="20" fillId="2" borderId="5" xfId="3" applyNumberFormat="1" applyFont="1" applyFill="1" applyBorder="1" applyAlignment="1">
      <alignment vertical="center"/>
    </xf>
    <xf numFmtId="1" fontId="7" fillId="2" borderId="0" xfId="3" applyNumberFormat="1" applyFont="1" applyFill="1" applyAlignment="1">
      <alignment horizontal="left" vertical="center"/>
    </xf>
    <xf numFmtId="165" fontId="1" fillId="2" borderId="0" xfId="3" applyNumberFormat="1" applyFont="1" applyFill="1" applyAlignment="1">
      <alignment horizontal="right" vertical="center"/>
    </xf>
    <xf numFmtId="174" fontId="1" fillId="2" borderId="0" xfId="3" applyNumberFormat="1" applyFont="1" applyFill="1" applyAlignment="1">
      <alignment horizontal="right" vertical="center"/>
    </xf>
    <xf numFmtId="168" fontId="20" fillId="2" borderId="5" xfId="3" applyFont="1" applyFill="1" applyBorder="1" applyAlignment="1">
      <alignment horizontal="left" vertical="top"/>
    </xf>
    <xf numFmtId="168" fontId="34" fillId="2" borderId="0" xfId="3" applyFont="1" applyFill="1" applyAlignment="1">
      <alignment horizontal="left" vertical="center"/>
    </xf>
    <xf numFmtId="173" fontId="8" fillId="2" borderId="0" xfId="3" applyNumberFormat="1" applyFont="1" applyFill="1" applyAlignment="1">
      <alignment vertical="center"/>
    </xf>
    <xf numFmtId="176" fontId="8" fillId="2" borderId="0" xfId="3" applyNumberFormat="1" applyFont="1" applyFill="1" applyAlignment="1">
      <alignment horizontal="right" vertical="center"/>
    </xf>
    <xf numFmtId="172" fontId="8" fillId="2" borderId="0" xfId="3" applyNumberFormat="1" applyFont="1" applyFill="1" applyAlignment="1">
      <alignment horizontal="left" vertical="center"/>
    </xf>
    <xf numFmtId="168" fontId="8" fillId="2" borderId="5" xfId="3" quotePrefix="1" applyFont="1" applyFill="1" applyBorder="1" applyAlignment="1">
      <alignment horizontal="left" vertical="center"/>
    </xf>
    <xf numFmtId="2" fontId="8" fillId="2" borderId="5" xfId="3" quotePrefix="1" applyNumberFormat="1" applyFont="1" applyFill="1" applyBorder="1" applyAlignment="1">
      <alignment horizontal="left" vertical="center"/>
    </xf>
    <xf numFmtId="168" fontId="20" fillId="2" borderId="5" xfId="3" quotePrefix="1" applyFont="1" applyFill="1" applyBorder="1" applyAlignment="1">
      <alignment horizontal="left" vertical="top"/>
    </xf>
    <xf numFmtId="165" fontId="8" fillId="2" borderId="5" xfId="3" applyNumberFormat="1" applyFont="1" applyFill="1" applyBorder="1" applyAlignment="1">
      <alignment horizontal="right"/>
    </xf>
    <xf numFmtId="174" fontId="8" fillId="2" borderId="5" xfId="3" applyNumberFormat="1" applyFont="1" applyFill="1" applyBorder="1" applyAlignment="1">
      <alignment horizontal="right"/>
    </xf>
    <xf numFmtId="168" fontId="8" fillId="2" borderId="0" xfId="3" applyFont="1" applyFill="1" applyAlignment="1">
      <alignment vertical="top"/>
    </xf>
    <xf numFmtId="174" fontId="20" fillId="2" borderId="5" xfId="3" applyNumberFormat="1" applyFont="1" applyFill="1" applyBorder="1" applyAlignment="1">
      <alignment vertical="center"/>
    </xf>
    <xf numFmtId="165" fontId="20" fillId="2" borderId="0" xfId="3" applyNumberFormat="1" applyFont="1" applyFill="1"/>
    <xf numFmtId="168" fontId="34" fillId="2" borderId="0" xfId="3" applyFont="1" applyFill="1"/>
    <xf numFmtId="1" fontId="8" fillId="2" borderId="0" xfId="3" applyNumberFormat="1" applyFont="1" applyFill="1" applyAlignment="1">
      <alignment vertical="center"/>
    </xf>
    <xf numFmtId="172" fontId="8" fillId="2" borderId="5" xfId="3" applyNumberFormat="1" applyFont="1" applyFill="1" applyBorder="1" applyAlignment="1">
      <alignment horizontal="left" vertical="center"/>
    </xf>
    <xf numFmtId="2" fontId="1" fillId="2" borderId="0" xfId="3" applyNumberFormat="1" applyFont="1" applyFill="1" applyAlignment="1">
      <alignment vertical="center"/>
    </xf>
    <xf numFmtId="2" fontId="4" fillId="2" borderId="0" xfId="3" applyNumberFormat="1" applyFont="1" applyFill="1" applyAlignment="1">
      <alignment vertical="center"/>
    </xf>
    <xf numFmtId="2" fontId="5" fillId="2" borderId="5" xfId="3" applyNumberFormat="1" applyFont="1" applyFill="1" applyBorder="1" applyAlignment="1">
      <alignment vertical="center"/>
    </xf>
    <xf numFmtId="165" fontId="20" fillId="0" borderId="5" xfId="3" applyNumberFormat="1" applyFont="1" applyBorder="1" applyAlignment="1">
      <alignment horizontal="right"/>
    </xf>
    <xf numFmtId="174" fontId="20" fillId="0" borderId="5" xfId="3" applyNumberFormat="1" applyFont="1" applyBorder="1" applyAlignment="1">
      <alignment horizontal="right"/>
    </xf>
    <xf numFmtId="165" fontId="1" fillId="2" borderId="0" xfId="3" applyNumberFormat="1" applyFont="1" applyFill="1" applyAlignment="1">
      <alignment horizontal="left" vertical="center"/>
    </xf>
    <xf numFmtId="174" fontId="1" fillId="2" borderId="0" xfId="3" applyNumberFormat="1" applyFont="1" applyFill="1" applyAlignment="1">
      <alignment horizontal="left" vertical="center"/>
    </xf>
    <xf numFmtId="1" fontId="46" fillId="2" borderId="0" xfId="3" applyNumberFormat="1" applyFont="1" applyFill="1" applyAlignment="1">
      <alignment horizontal="right" vertical="center"/>
    </xf>
    <xf numFmtId="2" fontId="32" fillId="2" borderId="0" xfId="3" applyNumberFormat="1" applyFont="1" applyFill="1" applyAlignment="1">
      <alignment horizontal="left" vertical="center"/>
    </xf>
    <xf numFmtId="172" fontId="1" fillId="2" borderId="0" xfId="3" applyNumberFormat="1" applyFont="1" applyFill="1" applyAlignment="1">
      <alignment horizontal="right" vertical="center"/>
    </xf>
    <xf numFmtId="165" fontId="1" fillId="2" borderId="0" xfId="3" quotePrefix="1" applyNumberFormat="1" applyFont="1" applyFill="1" applyAlignment="1">
      <alignment horizontal="right" vertical="center"/>
    </xf>
    <xf numFmtId="1" fontId="1" fillId="2" borderId="0" xfId="3" applyNumberFormat="1" applyFont="1" applyFill="1" applyAlignment="1">
      <alignment horizontal="right" vertical="center"/>
    </xf>
    <xf numFmtId="174" fontId="8" fillId="2" borderId="6" xfId="3" applyNumberFormat="1" applyFont="1" applyFill="1" applyBorder="1" applyAlignment="1">
      <alignment horizontal="right"/>
    </xf>
    <xf numFmtId="165" fontId="9" fillId="2" borderId="0" xfId="3" applyNumberFormat="1" applyFont="1" applyFill="1" applyAlignment="1">
      <alignment vertical="center"/>
    </xf>
    <xf numFmtId="165" fontId="46" fillId="2" borderId="0" xfId="3" applyNumberFormat="1" applyFont="1" applyFill="1" applyAlignment="1">
      <alignment horizontal="left" vertical="center"/>
    </xf>
    <xf numFmtId="174" fontId="46" fillId="2" borderId="0" xfId="3" applyNumberFormat="1" applyFont="1" applyFill="1" applyAlignment="1">
      <alignment horizontal="left" vertical="center"/>
    </xf>
    <xf numFmtId="2" fontId="47" fillId="2" borderId="0" xfId="3" applyNumberFormat="1" applyFont="1" applyFill="1" applyAlignment="1">
      <alignment horizontal="left" vertical="center"/>
    </xf>
    <xf numFmtId="172" fontId="5" fillId="2" borderId="0" xfId="3" applyNumberFormat="1" applyFont="1" applyFill="1" applyAlignment="1">
      <alignment horizontal="right" vertical="center"/>
    </xf>
    <xf numFmtId="165" fontId="20" fillId="2" borderId="5" xfId="3" applyNumberFormat="1" applyFont="1" applyFill="1" applyBorder="1" applyAlignment="1">
      <alignment horizontal="right"/>
    </xf>
    <xf numFmtId="174" fontId="20" fillId="2" borderId="5" xfId="3" applyNumberFormat="1" applyFont="1" applyFill="1" applyBorder="1" applyAlignment="1">
      <alignment horizontal="right"/>
    </xf>
    <xf numFmtId="174" fontId="7" fillId="2" borderId="0" xfId="3" applyNumberFormat="1" applyFont="1" applyFill="1" applyAlignment="1">
      <alignment horizontal="left" vertical="center"/>
    </xf>
    <xf numFmtId="49" fontId="7" fillId="2" borderId="0" xfId="3" applyNumberFormat="1" applyFont="1" applyFill="1" applyAlignment="1">
      <alignment horizontal="right" vertical="center"/>
    </xf>
    <xf numFmtId="2" fontId="48" fillId="2" borderId="0" xfId="3" applyNumberFormat="1" applyFont="1" applyFill="1" applyAlignment="1">
      <alignment horizontal="left" vertical="center"/>
    </xf>
    <xf numFmtId="165" fontId="4" fillId="2" borderId="0" xfId="3" applyNumberFormat="1" applyFont="1" applyFill="1" applyAlignment="1">
      <alignment vertical="center"/>
    </xf>
    <xf numFmtId="174" fontId="4" fillId="2" borderId="0" xfId="3" applyNumberFormat="1" applyFont="1" applyFill="1" applyAlignment="1">
      <alignment vertical="center"/>
    </xf>
    <xf numFmtId="2" fontId="8" fillId="2" borderId="5" xfId="3" applyNumberFormat="1" applyFont="1" applyFill="1" applyBorder="1" applyAlignment="1">
      <alignment horizontal="right" vertical="center"/>
    </xf>
    <xf numFmtId="172" fontId="32" fillId="2" borderId="0" xfId="3" applyNumberFormat="1" applyFont="1" applyFill="1"/>
    <xf numFmtId="172" fontId="9" fillId="2" borderId="5" xfId="3" applyNumberFormat="1" applyFont="1" applyFill="1" applyBorder="1" applyAlignment="1">
      <alignment horizontal="right"/>
    </xf>
    <xf numFmtId="172" fontId="32" fillId="2" borderId="0" xfId="3" applyNumberFormat="1" applyFont="1" applyFill="1" applyAlignment="1">
      <alignment horizontal="right"/>
    </xf>
    <xf numFmtId="172" fontId="5" fillId="2" borderId="5" xfId="3" applyNumberFormat="1" applyFont="1" applyFill="1" applyBorder="1" applyAlignment="1">
      <alignment horizontal="right"/>
    </xf>
    <xf numFmtId="172" fontId="5" fillId="2" borderId="5" xfId="3" applyNumberFormat="1" applyFont="1" applyFill="1" applyBorder="1" applyAlignment="1">
      <alignment horizontal="right" vertical="center"/>
    </xf>
    <xf numFmtId="172" fontId="5" fillId="2" borderId="5" xfId="3" applyNumberFormat="1" applyFont="1" applyFill="1" applyBorder="1" applyAlignment="1">
      <alignment vertical="center"/>
    </xf>
    <xf numFmtId="172" fontId="32" fillId="2" borderId="0" xfId="3" applyNumberFormat="1" applyFont="1" applyFill="1" applyAlignment="1">
      <alignment horizontal="right" vertical="center"/>
    </xf>
    <xf numFmtId="168" fontId="5" fillId="2" borderId="5" xfId="3" applyFont="1" applyFill="1" applyBorder="1" applyAlignment="1">
      <alignment vertical="center"/>
    </xf>
    <xf numFmtId="166" fontId="8" fillId="2" borderId="0" xfId="3" applyNumberFormat="1" applyFont="1" applyFill="1" applyAlignment="1">
      <alignment horizontal="right"/>
    </xf>
    <xf numFmtId="168" fontId="25" fillId="2" borderId="0" xfId="3" applyFont="1" applyFill="1" applyAlignment="1">
      <alignment horizontal="left"/>
    </xf>
    <xf numFmtId="168" fontId="25" fillId="2" borderId="0" xfId="3" applyFont="1" applyFill="1" applyAlignment="1">
      <alignment vertical="center"/>
    </xf>
    <xf numFmtId="168" fontId="25" fillId="2" borderId="5" xfId="3" applyFont="1" applyFill="1" applyBorder="1" applyAlignment="1">
      <alignment horizontal="left"/>
    </xf>
    <xf numFmtId="168" fontId="28" fillId="2" borderId="0" xfId="3" applyFont="1" applyFill="1" applyAlignment="1">
      <alignment vertical="center"/>
    </xf>
    <xf numFmtId="168" fontId="2" fillId="2" borderId="0" xfId="3" applyFont="1" applyFill="1" applyAlignment="1">
      <alignment vertical="center"/>
    </xf>
    <xf numFmtId="2" fontId="28" fillId="2" borderId="0" xfId="3" applyNumberFormat="1" applyFont="1" applyFill="1" applyAlignment="1">
      <alignment horizontal="left" vertical="center"/>
    </xf>
    <xf numFmtId="168" fontId="28" fillId="2" borderId="0" xfId="3" applyFont="1" applyFill="1" applyAlignment="1">
      <alignment horizontal="left"/>
    </xf>
    <xf numFmtId="168" fontId="49" fillId="2" borderId="0" xfId="3" applyFont="1" applyFill="1" applyAlignment="1">
      <alignment vertical="center"/>
    </xf>
    <xf numFmtId="2" fontId="2" fillId="2" borderId="0" xfId="3" applyNumberFormat="1" applyFont="1" applyFill="1" applyAlignment="1">
      <alignment horizontal="left" vertical="center"/>
    </xf>
    <xf numFmtId="2" fontId="3" fillId="2" borderId="0" xfId="3" applyNumberFormat="1" applyFont="1" applyFill="1" applyAlignment="1">
      <alignment vertical="center"/>
    </xf>
    <xf numFmtId="3" fontId="41" fillId="2" borderId="0" xfId="3" applyNumberFormat="1" applyFont="1" applyFill="1" applyAlignment="1">
      <alignment horizontal="left" vertical="center"/>
    </xf>
    <xf numFmtId="3" fontId="20" fillId="2" borderId="5" xfId="3" applyNumberFormat="1" applyFont="1" applyFill="1" applyBorder="1" applyAlignment="1">
      <alignment vertical="center"/>
    </xf>
    <xf numFmtId="3" fontId="34" fillId="2" borderId="0" xfId="3" applyNumberFormat="1" applyFont="1" applyFill="1" applyAlignment="1">
      <alignment horizontal="right" vertical="center"/>
    </xf>
    <xf numFmtId="3" fontId="8" fillId="2" borderId="5" xfId="3" applyNumberFormat="1" applyFont="1" applyFill="1" applyBorder="1" applyAlignment="1">
      <alignment horizontal="right" vertical="center"/>
    </xf>
    <xf numFmtId="3" fontId="27" fillId="2" borderId="0" xfId="3" applyNumberFormat="1" applyFont="1" applyFill="1" applyAlignment="1">
      <alignment horizontal="right"/>
    </xf>
    <xf numFmtId="3" fontId="8" fillId="2" borderId="5" xfId="3" applyNumberFormat="1" applyFont="1" applyFill="1" applyBorder="1" applyAlignment="1">
      <alignment vertical="center"/>
    </xf>
    <xf numFmtId="3" fontId="8" fillId="2" borderId="0" xfId="3" applyNumberFormat="1" applyFont="1" applyFill="1" applyAlignment="1">
      <alignment vertical="center"/>
    </xf>
    <xf numFmtId="3" fontId="26" fillId="2" borderId="0" xfId="3" applyNumberFormat="1" applyFont="1" applyFill="1" applyAlignment="1">
      <alignment vertical="center"/>
    </xf>
    <xf numFmtId="3" fontId="1" fillId="2" borderId="0" xfId="3" applyNumberFormat="1" applyFont="1" applyFill="1"/>
    <xf numFmtId="3" fontId="8" fillId="2" borderId="0" xfId="3" applyNumberFormat="1" applyFont="1" applyFill="1"/>
    <xf numFmtId="3" fontId="8" fillId="2" borderId="0" xfId="3" applyNumberFormat="1" applyFont="1" applyFill="1" applyAlignment="1">
      <alignment horizontal="right"/>
    </xf>
    <xf numFmtId="3" fontId="8" fillId="2" borderId="5" xfId="3" applyNumberFormat="1" applyFont="1" applyFill="1" applyBorder="1" applyAlignment="1">
      <alignment horizontal="right"/>
    </xf>
    <xf numFmtId="3" fontId="1" fillId="2" borderId="0" xfId="3" applyNumberFormat="1" applyFont="1" applyFill="1" applyAlignment="1">
      <alignment horizontal="left" vertical="center"/>
    </xf>
    <xf numFmtId="3" fontId="1" fillId="2" borderId="0" xfId="3" applyNumberFormat="1" applyFont="1" applyFill="1" applyAlignment="1">
      <alignment horizontal="right" vertical="center"/>
    </xf>
    <xf numFmtId="3" fontId="1" fillId="2" borderId="0" xfId="3" applyNumberFormat="1" applyFont="1" applyFill="1" applyAlignment="1">
      <alignment horizontal="right"/>
    </xf>
    <xf numFmtId="3" fontId="9" fillId="2" borderId="0" xfId="3" applyNumberFormat="1" applyFont="1" applyFill="1" applyAlignment="1">
      <alignment vertical="center"/>
    </xf>
    <xf numFmtId="3" fontId="46" fillId="2" borderId="0" xfId="3" applyNumberFormat="1" applyFont="1" applyFill="1" applyAlignment="1">
      <alignment horizontal="left" vertical="center"/>
    </xf>
    <xf numFmtId="3" fontId="20" fillId="0" borderId="5" xfId="3" applyNumberFormat="1" applyFont="1" applyBorder="1" applyAlignment="1">
      <alignment horizontal="right"/>
    </xf>
    <xf numFmtId="3" fontId="20" fillId="2" borderId="0" xfId="3" applyNumberFormat="1" applyFont="1" applyFill="1" applyAlignment="1">
      <alignment horizontal="right"/>
    </xf>
    <xf numFmtId="3" fontId="20" fillId="2" borderId="0" xfId="3" applyNumberFormat="1" applyFont="1" applyFill="1" applyAlignment="1">
      <alignment vertical="center"/>
    </xf>
    <xf numFmtId="3" fontId="1" fillId="2" borderId="0" xfId="3" applyNumberFormat="1" applyFont="1" applyFill="1" applyAlignment="1">
      <alignment vertical="center"/>
    </xf>
    <xf numFmtId="3" fontId="20" fillId="2" borderId="5" xfId="3" applyNumberFormat="1" applyFont="1" applyFill="1" applyBorder="1" applyAlignment="1">
      <alignment horizontal="right" vertical="center"/>
    </xf>
    <xf numFmtId="3" fontId="20" fillId="2" borderId="5" xfId="3" applyNumberFormat="1" applyFont="1" applyFill="1" applyBorder="1" applyAlignment="1">
      <alignment horizontal="right"/>
    </xf>
    <xf numFmtId="3" fontId="7" fillId="2" borderId="0" xfId="3" applyNumberFormat="1" applyFont="1" applyFill="1" applyAlignment="1">
      <alignment horizontal="left" vertical="center"/>
    </xf>
    <xf numFmtId="3" fontId="4" fillId="2" borderId="0" xfId="3" applyNumberFormat="1" applyFont="1" applyFill="1" applyAlignment="1">
      <alignment vertical="center"/>
    </xf>
    <xf numFmtId="3" fontId="20" fillId="2" borderId="0" xfId="3" applyNumberFormat="1" applyFont="1" applyFill="1"/>
    <xf numFmtId="3" fontId="8" fillId="2" borderId="6" xfId="3" applyNumberFormat="1" applyFont="1" applyFill="1" applyBorder="1" applyAlignment="1">
      <alignment vertical="center"/>
    </xf>
    <xf numFmtId="2" fontId="7" fillId="2" borderId="0" xfId="3" applyNumberFormat="1" applyFont="1" applyFill="1" applyAlignment="1">
      <alignment horizontal="left"/>
    </xf>
    <xf numFmtId="176" fontId="8" fillId="2" borderId="0" xfId="3" applyNumberFormat="1" applyFont="1" applyFill="1" applyAlignment="1">
      <alignment horizontal="right"/>
    </xf>
    <xf numFmtId="168" fontId="20" fillId="2" borderId="0" xfId="3" applyFont="1" applyFill="1" applyAlignment="1">
      <alignment horizontal="left"/>
    </xf>
    <xf numFmtId="2" fontId="8" fillId="2" borderId="0" xfId="3" applyNumberFormat="1" applyFont="1" applyFill="1" applyAlignment="1">
      <alignment horizontal="right"/>
    </xf>
    <xf numFmtId="178" fontId="8" fillId="2" borderId="0" xfId="3" applyNumberFormat="1" applyFont="1" applyFill="1" applyAlignment="1">
      <alignment horizontal="right"/>
    </xf>
    <xf numFmtId="178" fontId="8" fillId="2" borderId="0" xfId="3" applyNumberFormat="1" applyFont="1" applyFill="1" applyAlignment="1">
      <alignment horizontal="right" vertical="center"/>
    </xf>
    <xf numFmtId="179" fontId="8" fillId="2" borderId="0" xfId="3" applyNumberFormat="1" applyFont="1" applyFill="1" applyAlignment="1">
      <alignment horizontal="right" vertical="center"/>
    </xf>
    <xf numFmtId="166" fontId="8" fillId="2" borderId="0" xfId="3" applyNumberFormat="1" applyFont="1" applyFill="1" applyAlignment="1">
      <alignment horizontal="right" vertical="center"/>
    </xf>
    <xf numFmtId="175" fontId="8" fillId="2" borderId="0" xfId="3" applyNumberFormat="1" applyFont="1" applyFill="1" applyAlignment="1">
      <alignment horizontal="right" vertical="center"/>
    </xf>
    <xf numFmtId="177" fontId="1" fillId="2" borderId="0" xfId="3" applyNumberFormat="1" applyFont="1" applyFill="1" applyAlignment="1">
      <alignment horizontal="right" vertical="center"/>
    </xf>
    <xf numFmtId="166" fontId="8" fillId="2" borderId="0" xfId="3" applyNumberFormat="1" applyFont="1" applyFill="1" applyAlignment="1">
      <alignment vertical="center"/>
    </xf>
    <xf numFmtId="175" fontId="8" fillId="2" borderId="5" xfId="3" applyNumberFormat="1" applyFont="1" applyFill="1" applyBorder="1" applyAlignment="1">
      <alignment vertical="center"/>
    </xf>
    <xf numFmtId="175" fontId="8" fillId="2" borderId="0" xfId="3" applyNumberFormat="1" applyFont="1" applyFill="1" applyAlignment="1">
      <alignment vertical="center"/>
    </xf>
    <xf numFmtId="179" fontId="8" fillId="2" borderId="0" xfId="3" applyNumberFormat="1" applyFont="1" applyFill="1" applyAlignment="1">
      <alignment vertical="center"/>
    </xf>
    <xf numFmtId="168" fontId="25" fillId="2" borderId="0" xfId="3" applyFont="1" applyFill="1"/>
    <xf numFmtId="172" fontId="32" fillId="8" borderId="0" xfId="8" applyNumberFormat="1" applyFont="1" applyFill="1" applyAlignment="1">
      <alignment horizontal="right"/>
    </xf>
    <xf numFmtId="168" fontId="9" fillId="8" borderId="0" xfId="8" applyFont="1" applyFill="1"/>
    <xf numFmtId="172" fontId="9" fillId="8" borderId="0" xfId="8" applyNumberFormat="1" applyFont="1" applyFill="1" applyAlignment="1">
      <alignment horizontal="right"/>
    </xf>
    <xf numFmtId="172" fontId="9" fillId="8" borderId="0" xfId="8" applyNumberFormat="1" applyFont="1" applyFill="1"/>
    <xf numFmtId="168" fontId="8" fillId="8" borderId="0" xfId="8" applyFont="1" applyFill="1" applyAlignment="1">
      <alignment horizontal="left" vertical="center"/>
    </xf>
    <xf numFmtId="168" fontId="8" fillId="8" borderId="0" xfId="8" applyFont="1" applyFill="1" applyAlignment="1">
      <alignment horizontal="left"/>
    </xf>
    <xf numFmtId="165" fontId="11" fillId="0" borderId="9" xfId="0" applyNumberFormat="1" applyFont="1" applyBorder="1"/>
    <xf numFmtId="9" fontId="11" fillId="0" borderId="9" xfId="0" applyNumberFormat="1" applyFont="1" applyBorder="1"/>
    <xf numFmtId="165" fontId="8" fillId="9" borderId="0" xfId="3" applyNumberFormat="1" applyFont="1" applyFill="1" applyAlignment="1">
      <alignment horizontal="right"/>
    </xf>
    <xf numFmtId="165" fontId="8" fillId="6" borderId="0" xfId="3" applyNumberFormat="1" applyFont="1" applyFill="1" applyAlignment="1">
      <alignment horizontal="right"/>
    </xf>
    <xf numFmtId="166" fontId="8" fillId="6" borderId="0" xfId="3" applyNumberFormat="1" applyFont="1" applyFill="1" applyAlignment="1">
      <alignment horizontal="right"/>
    </xf>
    <xf numFmtId="165" fontId="8" fillId="9" borderId="0" xfId="3" applyNumberFormat="1" applyFont="1" applyFill="1" applyAlignment="1">
      <alignment horizontal="right" vertical="center"/>
    </xf>
    <xf numFmtId="165" fontId="8" fillId="6" borderId="0" xfId="3" applyNumberFormat="1" applyFont="1" applyFill="1" applyAlignment="1">
      <alignment horizontal="right" vertical="center"/>
    </xf>
    <xf numFmtId="165" fontId="8" fillId="5" borderId="0" xfId="3" applyNumberFormat="1" applyFont="1" applyFill="1" applyAlignment="1">
      <alignment horizontal="right" vertical="center"/>
    </xf>
    <xf numFmtId="0" fontId="50" fillId="0" borderId="0" xfId="0" applyFont="1"/>
    <xf numFmtId="165" fontId="8" fillId="6" borderId="0" xfId="3" applyNumberFormat="1" applyFont="1" applyFill="1" applyAlignment="1">
      <alignment vertical="center"/>
    </xf>
    <xf numFmtId="165" fontId="8" fillId="9" borderId="0" xfId="3" applyNumberFormat="1" applyFont="1" applyFill="1" applyAlignment="1">
      <alignment vertical="center"/>
    </xf>
    <xf numFmtId="166" fontId="8" fillId="9" borderId="0" xfId="3" applyNumberFormat="1" applyFont="1" applyFill="1" applyAlignment="1">
      <alignment vertical="center"/>
    </xf>
    <xf numFmtId="0" fontId="14" fillId="5" borderId="0" xfId="0" applyFont="1" applyFill="1"/>
    <xf numFmtId="165" fontId="8" fillId="10" borderId="0" xfId="3" applyNumberFormat="1" applyFont="1" applyFill="1" applyAlignment="1">
      <alignment horizontal="right" vertical="center"/>
    </xf>
    <xf numFmtId="9" fontId="11" fillId="0" borderId="0" xfId="0" applyNumberFormat="1" applyFont="1"/>
    <xf numFmtId="9" fontId="0" fillId="0" borderId="0" xfId="0" applyNumberFormat="1" applyAlignment="1">
      <alignment horizontal="right"/>
    </xf>
    <xf numFmtId="0" fontId="14" fillId="7" borderId="0" xfId="0" applyFont="1" applyFill="1" applyAlignment="1">
      <alignment wrapText="1"/>
    </xf>
    <xf numFmtId="164" fontId="0" fillId="9" borderId="0" xfId="0" applyNumberFormat="1" applyFill="1"/>
    <xf numFmtId="0" fontId="0" fillId="11" borderId="0" xfId="0" applyFill="1"/>
    <xf numFmtId="0" fontId="0" fillId="9" borderId="0" xfId="0" applyFill="1"/>
    <xf numFmtId="0" fontId="0" fillId="12" borderId="0" xfId="0" applyFill="1"/>
    <xf numFmtId="0" fontId="0" fillId="0" borderId="0" xfId="0" quotePrefix="1" applyAlignment="1">
      <alignment wrapText="1"/>
    </xf>
    <xf numFmtId="0" fontId="0" fillId="14" borderId="0" xfId="0" applyFill="1"/>
    <xf numFmtId="2" fontId="50" fillId="6" borderId="0" xfId="3" applyNumberFormat="1" applyFont="1" applyFill="1" applyAlignment="1">
      <alignment horizontal="right"/>
    </xf>
    <xf numFmtId="9" fontId="51" fillId="0" borderId="0" xfId="0" applyNumberFormat="1" applyFont="1"/>
    <xf numFmtId="9" fontId="11" fillId="5" borderId="9" xfId="0" applyNumberFormat="1" applyFont="1" applyFill="1" applyBorder="1"/>
    <xf numFmtId="9" fontId="11" fillId="6" borderId="9" xfId="0" applyNumberFormat="1" applyFont="1" applyFill="1" applyBorder="1"/>
    <xf numFmtId="0" fontId="0" fillId="6" borderId="9" xfId="0" applyFill="1" applyBorder="1"/>
    <xf numFmtId="0" fontId="0" fillId="6" borderId="0" xfId="0" applyFill="1"/>
    <xf numFmtId="9" fontId="11" fillId="6" borderId="0" xfId="0" applyNumberFormat="1" applyFont="1" applyFill="1"/>
    <xf numFmtId="9" fontId="51" fillId="6" borderId="0" xfId="0" applyNumberFormat="1" applyFont="1" applyFill="1"/>
    <xf numFmtId="0" fontId="11" fillId="6" borderId="0" xfId="0" applyFont="1" applyFill="1" applyAlignment="1">
      <alignment wrapText="1"/>
    </xf>
    <xf numFmtId="0" fontId="0" fillId="6" borderId="0" xfId="0" applyFill="1" applyAlignment="1">
      <alignment horizontal="right"/>
    </xf>
    <xf numFmtId="9" fontId="0" fillId="6" borderId="0" xfId="0" applyNumberFormat="1" applyFill="1" applyAlignment="1">
      <alignment horizontal="right"/>
    </xf>
    <xf numFmtId="9" fontId="0" fillId="6" borderId="0" xfId="0" applyNumberFormat="1" applyFill="1"/>
    <xf numFmtId="0" fontId="56" fillId="15" borderId="9" xfId="0" applyFont="1" applyFill="1" applyBorder="1"/>
    <xf numFmtId="0" fontId="56" fillId="15" borderId="9" xfId="0" applyFont="1" applyFill="1" applyBorder="1" applyAlignment="1">
      <alignment wrapText="1"/>
    </xf>
    <xf numFmtId="0" fontId="0" fillId="0" borderId="9" xfId="0" applyBorder="1" applyAlignment="1">
      <alignment horizontal="left"/>
    </xf>
    <xf numFmtId="2" fontId="0" fillId="0" borderId="9" xfId="0" applyNumberFormat="1" applyBorder="1" applyAlignment="1">
      <alignment horizontal="left" wrapText="1"/>
    </xf>
    <xf numFmtId="9" fontId="0" fillId="0" borderId="9" xfId="0" applyNumberFormat="1" applyBorder="1" applyAlignment="1">
      <alignment horizontal="left"/>
    </xf>
    <xf numFmtId="9" fontId="0" fillId="0" borderId="9" xfId="0" applyNumberFormat="1" applyBorder="1" applyAlignment="1">
      <alignment horizontal="left" wrapText="1"/>
    </xf>
    <xf numFmtId="0" fontId="56" fillId="15" borderId="10" xfId="0" applyFont="1" applyFill="1" applyBorder="1" applyAlignment="1">
      <alignment wrapText="1"/>
    </xf>
    <xf numFmtId="168" fontId="19" fillId="2" borderId="0" xfId="3" applyFont="1" applyFill="1" applyAlignment="1">
      <alignment horizontal="left" vertical="center" wrapText="1"/>
    </xf>
    <xf numFmtId="168" fontId="20" fillId="2" borderId="0" xfId="3" applyFont="1" applyFill="1" applyAlignment="1">
      <alignment horizontal="left" vertical="center" wrapText="1"/>
    </xf>
    <xf numFmtId="168" fontId="16" fillId="0" borderId="0" xfId="3" applyAlignment="1">
      <alignment horizontal="left" wrapText="1"/>
    </xf>
    <xf numFmtId="38" fontId="26" fillId="2" borderId="0" xfId="4" applyNumberFormat="1" applyFont="1" applyFill="1" applyAlignment="1">
      <alignment horizontal="left" vertical="center" wrapText="1"/>
    </xf>
    <xf numFmtId="38" fontId="8" fillId="2" borderId="0" xfId="4" applyNumberFormat="1" applyFont="1" applyFill="1" applyAlignment="1">
      <alignment horizontal="left" vertical="center" wrapText="1"/>
    </xf>
    <xf numFmtId="168" fontId="26" fillId="2" borderId="0" xfId="3" applyFont="1" applyFill="1" applyAlignment="1">
      <alignment horizontal="left" vertical="center" wrapText="1"/>
    </xf>
    <xf numFmtId="2" fontId="2" fillId="2" borderId="0" xfId="3" applyNumberFormat="1" applyFont="1" applyFill="1" applyAlignment="1">
      <alignment horizontal="left" wrapText="1"/>
    </xf>
    <xf numFmtId="0" fontId="4" fillId="2" borderId="0" xfId="3" applyNumberFormat="1" applyFont="1" applyFill="1" applyAlignment="1">
      <alignment horizontal="left" wrapText="1"/>
    </xf>
    <xf numFmtId="2" fontId="3" fillId="2" borderId="0" xfId="3" applyNumberFormat="1" applyFont="1" applyFill="1" applyAlignment="1">
      <alignment horizontal="left" wrapText="1"/>
    </xf>
    <xf numFmtId="0" fontId="53" fillId="0" borderId="0" xfId="3" applyNumberFormat="1" applyFont="1" applyAlignment="1">
      <alignment horizontal="left" wrapText="1"/>
    </xf>
    <xf numFmtId="0" fontId="54" fillId="0" borderId="0" xfId="0" applyFont="1" applyAlignment="1">
      <alignment horizontal="left" wrapText="1"/>
    </xf>
    <xf numFmtId="0" fontId="4" fillId="2" borderId="0" xfId="3" applyNumberFormat="1" applyFont="1" applyFill="1" applyAlignment="1">
      <alignment horizontal="left" vertical="center" wrapText="1"/>
    </xf>
    <xf numFmtId="0" fontId="52" fillId="2" borderId="0" xfId="3" applyNumberFormat="1" applyFont="1" applyFill="1" applyAlignment="1">
      <alignment horizontal="left" wrapText="1"/>
    </xf>
    <xf numFmtId="168" fontId="3" fillId="2" borderId="0" xfId="3" applyFont="1" applyFill="1" applyAlignment="1">
      <alignment horizontal="left" wrapText="1"/>
    </xf>
    <xf numFmtId="168" fontId="2" fillId="2" borderId="0" xfId="3" applyFont="1" applyFill="1" applyAlignment="1">
      <alignment horizontal="left" wrapText="1"/>
    </xf>
    <xf numFmtId="0" fontId="3" fillId="2" borderId="0" xfId="3" applyNumberFormat="1" applyFont="1" applyFill="1" applyAlignment="1">
      <alignment horizontal="left" wrapText="1"/>
    </xf>
    <xf numFmtId="2" fontId="3" fillId="0" borderId="0" xfId="0" applyNumberFormat="1" applyFont="1" applyAlignment="1">
      <alignment horizontal="left" wrapText="1"/>
    </xf>
    <xf numFmtId="165" fontId="2" fillId="0" borderId="0" xfId="0" applyNumberFormat="1" applyFont="1" applyAlignment="1">
      <alignment horizontal="left" wrapText="1"/>
    </xf>
    <xf numFmtId="2" fontId="3" fillId="2" borderId="0" xfId="3" applyNumberFormat="1" applyFont="1" applyFill="1" applyAlignment="1">
      <alignment horizontal="left" vertical="center" wrapText="1"/>
    </xf>
    <xf numFmtId="168" fontId="3" fillId="0" borderId="0" xfId="3" applyFont="1" applyAlignment="1">
      <alignment horizontal="left" wrapText="1"/>
    </xf>
    <xf numFmtId="2" fontId="2" fillId="2" borderId="0" xfId="3" applyNumberFormat="1" applyFont="1" applyFill="1" applyAlignment="1">
      <alignment horizontal="left" vertical="center" wrapText="1"/>
    </xf>
    <xf numFmtId="168" fontId="3" fillId="0" borderId="0" xfId="0" applyNumberFormat="1" applyFont="1" applyAlignment="1">
      <alignment horizontal="left" wrapText="1"/>
    </xf>
    <xf numFmtId="168" fontId="2" fillId="0" borderId="0" xfId="0" applyNumberFormat="1" applyFont="1" applyAlignment="1">
      <alignment horizontal="left" wrapText="1"/>
    </xf>
    <xf numFmtId="0" fontId="0" fillId="0" borderId="0" xfId="0" applyAlignment="1">
      <alignment horizontal="left" wrapText="1"/>
    </xf>
    <xf numFmtId="168" fontId="4" fillId="2" borderId="0" xfId="3" applyFont="1" applyFill="1" applyAlignment="1">
      <alignment horizontal="left" vertical="center" wrapText="1"/>
    </xf>
    <xf numFmtId="168" fontId="3" fillId="2" borderId="0" xfId="3" applyFont="1" applyFill="1" applyAlignment="1">
      <alignment horizontal="left" vertical="center" wrapText="1"/>
    </xf>
    <xf numFmtId="165" fontId="37" fillId="2" borderId="0" xfId="3" applyNumberFormat="1" applyFont="1" applyFill="1" applyAlignment="1">
      <alignment horizontal="left" wrapText="1"/>
    </xf>
    <xf numFmtId="165" fontId="3" fillId="2" borderId="0" xfId="3" applyNumberFormat="1" applyFont="1" applyFill="1" applyAlignment="1">
      <alignment horizontal="left" wrapText="1"/>
    </xf>
    <xf numFmtId="2" fontId="4" fillId="2" borderId="0" xfId="3" applyNumberFormat="1" applyFont="1" applyFill="1" applyAlignment="1">
      <alignment horizontal="left" wrapText="1"/>
    </xf>
    <xf numFmtId="2" fontId="38" fillId="2" borderId="0" xfId="3" applyNumberFormat="1" applyFont="1" applyFill="1" applyAlignment="1">
      <alignment horizontal="left" wrapText="1"/>
    </xf>
    <xf numFmtId="0" fontId="38" fillId="2" borderId="0" xfId="3" applyNumberFormat="1" applyFont="1" applyFill="1" applyAlignment="1">
      <alignment horizontal="left" wrapText="1"/>
    </xf>
    <xf numFmtId="172" fontId="38" fillId="2" borderId="0" xfId="3" applyNumberFormat="1" applyFont="1" applyFill="1" applyAlignment="1">
      <alignment horizontal="left" wrapText="1"/>
    </xf>
    <xf numFmtId="172" fontId="3" fillId="2" borderId="0" xfId="3" applyNumberFormat="1" applyFont="1" applyFill="1" applyAlignment="1">
      <alignment horizontal="left" wrapText="1"/>
    </xf>
    <xf numFmtId="0" fontId="7" fillId="2" borderId="0" xfId="3" applyNumberFormat="1" applyFont="1" applyFill="1" applyAlignment="1">
      <alignment horizontal="right"/>
    </xf>
    <xf numFmtId="0" fontId="57" fillId="2" borderId="0" xfId="3" applyNumberFormat="1" applyFont="1" applyFill="1" applyAlignment="1">
      <alignment horizontal="right"/>
    </xf>
    <xf numFmtId="168" fontId="58" fillId="0" borderId="0" xfId="3" applyFont="1"/>
    <xf numFmtId="38" fontId="46" fillId="2" borderId="0" xfId="4" applyNumberFormat="1" applyFont="1" applyFill="1" applyAlignment="1">
      <alignment vertical="center"/>
    </xf>
    <xf numFmtId="38" fontId="1" fillId="2" borderId="0" xfId="4" applyNumberFormat="1" applyFont="1" applyFill="1" applyAlignment="1">
      <alignment vertical="center"/>
    </xf>
    <xf numFmtId="168" fontId="46" fillId="2" borderId="0" xfId="3" applyFont="1" applyFill="1" applyAlignment="1">
      <alignment vertical="center"/>
    </xf>
    <xf numFmtId="0" fontId="57" fillId="0" borderId="0" xfId="3" applyNumberFormat="1" applyFont="1" applyAlignment="1">
      <alignment horizontal="right"/>
    </xf>
    <xf numFmtId="0" fontId="59" fillId="0" borderId="0" xfId="0" applyFont="1" applyAlignment="1">
      <alignment horizontal="right"/>
    </xf>
    <xf numFmtId="0" fontId="7" fillId="2" borderId="0" xfId="3" applyNumberFormat="1" applyFont="1" applyFill="1" applyAlignment="1">
      <alignment horizontal="right" vertical="center"/>
    </xf>
    <xf numFmtId="0" fontId="60" fillId="2" borderId="0" xfId="3" applyNumberFormat="1" applyFont="1" applyFill="1" applyAlignment="1">
      <alignment horizontal="right"/>
    </xf>
    <xf numFmtId="165" fontId="61" fillId="2" borderId="0" xfId="3" applyNumberFormat="1" applyFont="1" applyFill="1"/>
    <xf numFmtId="2" fontId="62" fillId="2" borderId="0" xfId="3" applyNumberFormat="1" applyFont="1" applyFill="1" applyAlignment="1">
      <alignment horizontal="right"/>
    </xf>
    <xf numFmtId="0" fontId="62" fillId="2" borderId="0" xfId="3" applyNumberFormat="1" applyFont="1" applyFill="1" applyAlignment="1">
      <alignment horizontal="right"/>
    </xf>
    <xf numFmtId="172" fontId="62" fillId="2" borderId="0" xfId="3" applyNumberFormat="1" applyFont="1" applyFill="1" applyAlignment="1">
      <alignment horizontal="right"/>
    </xf>
    <xf numFmtId="168" fontId="4" fillId="6" borderId="9" xfId="3" applyFont="1" applyFill="1" applyBorder="1" applyAlignment="1">
      <alignment vertical="center"/>
    </xf>
    <xf numFmtId="168" fontId="3" fillId="6" borderId="9" xfId="3" applyFont="1" applyFill="1" applyBorder="1" applyAlignment="1">
      <alignment vertical="center"/>
    </xf>
    <xf numFmtId="168" fontId="4" fillId="6" borderId="0" xfId="3" applyFont="1" applyFill="1" applyAlignment="1">
      <alignment vertical="center"/>
    </xf>
    <xf numFmtId="172" fontId="5" fillId="6" borderId="0" xfId="3" applyNumberFormat="1" applyFont="1" applyFill="1" applyAlignment="1">
      <alignment vertical="center"/>
    </xf>
    <xf numFmtId="168" fontId="20" fillId="6" borderId="0" xfId="3" applyFont="1" applyFill="1" applyAlignment="1">
      <alignment vertical="center"/>
    </xf>
    <xf numFmtId="168" fontId="19" fillId="6" borderId="0" xfId="3" applyFont="1" applyFill="1" applyAlignment="1">
      <alignment vertical="center"/>
    </xf>
    <xf numFmtId="168" fontId="31" fillId="6" borderId="0" xfId="3" applyFont="1" applyFill="1" applyAlignment="1">
      <alignment vertical="center"/>
    </xf>
    <xf numFmtId="165" fontId="50" fillId="6" borderId="0" xfId="3" applyNumberFormat="1" applyFont="1" applyFill="1" applyAlignment="1">
      <alignment horizontal="right"/>
    </xf>
    <xf numFmtId="168" fontId="50" fillId="6" borderId="0" xfId="3" applyFont="1" applyFill="1"/>
    <xf numFmtId="0" fontId="50" fillId="6" borderId="0" xfId="0" applyFont="1" applyFill="1"/>
    <xf numFmtId="168" fontId="50" fillId="6" borderId="0" xfId="3" applyFont="1" applyFill="1" applyAlignment="1">
      <alignment vertical="center"/>
    </xf>
    <xf numFmtId="168" fontId="51" fillId="6" borderId="0" xfId="3" applyFont="1" applyFill="1" applyAlignment="1">
      <alignment vertical="center"/>
    </xf>
    <xf numFmtId="2" fontId="52" fillId="6" borderId="0" xfId="3" applyNumberFormat="1" applyFont="1" applyFill="1" applyAlignment="1">
      <alignment horizontal="right"/>
    </xf>
    <xf numFmtId="168" fontId="20" fillId="6" borderId="0" xfId="3" applyFont="1" applyFill="1"/>
    <xf numFmtId="0" fontId="51" fillId="6" borderId="0" xfId="0" applyFont="1" applyFill="1" applyAlignment="1">
      <alignment wrapText="1"/>
    </xf>
    <xf numFmtId="0" fontId="50" fillId="6" borderId="0" xfId="0" applyFont="1" applyFill="1" applyAlignment="1">
      <alignment horizontal="right"/>
    </xf>
    <xf numFmtId="0" fontId="51" fillId="6" borderId="9" xfId="0" applyFont="1" applyFill="1" applyBorder="1" applyAlignment="1">
      <alignment wrapText="1"/>
    </xf>
    <xf numFmtId="0" fontId="51" fillId="6" borderId="9" xfId="0" applyFont="1" applyFill="1" applyBorder="1"/>
    <xf numFmtId="0" fontId="50" fillId="6" borderId="9" xfId="0" applyFont="1" applyFill="1" applyBorder="1"/>
    <xf numFmtId="165" fontId="63" fillId="6" borderId="9" xfId="3" applyNumberFormat="1" applyFont="1" applyFill="1" applyBorder="1"/>
    <xf numFmtId="165" fontId="51" fillId="6" borderId="9" xfId="0" applyNumberFormat="1" applyFont="1" applyFill="1" applyBorder="1"/>
    <xf numFmtId="168" fontId="16" fillId="6" borderId="0" xfId="3" applyFill="1"/>
    <xf numFmtId="168" fontId="8" fillId="6" borderId="0" xfId="3" applyFont="1" applyFill="1" applyAlignment="1">
      <alignment vertical="center"/>
    </xf>
    <xf numFmtId="165" fontId="63" fillId="6" borderId="0" xfId="3" applyNumberFormat="1" applyFont="1" applyFill="1" applyAlignment="1">
      <alignment horizontal="right"/>
    </xf>
    <xf numFmtId="165" fontId="50" fillId="6" borderId="9" xfId="0" applyNumberFormat="1" applyFont="1" applyFill="1" applyBorder="1"/>
    <xf numFmtId="2" fontId="64" fillId="6" borderId="0" xfId="3" applyNumberFormat="1" applyFont="1" applyFill="1" applyAlignment="1">
      <alignment horizontal="right"/>
    </xf>
    <xf numFmtId="0" fontId="64" fillId="6" borderId="0" xfId="3" applyNumberFormat="1" applyFont="1" applyFill="1" applyAlignment="1">
      <alignment horizontal="right"/>
    </xf>
    <xf numFmtId="165" fontId="0" fillId="0" borderId="0" xfId="0" applyNumberFormat="1"/>
    <xf numFmtId="0" fontId="51" fillId="6" borderId="7" xfId="0" applyFont="1" applyFill="1" applyBorder="1" applyAlignment="1">
      <alignment wrapText="1"/>
    </xf>
    <xf numFmtId="0" fontId="56" fillId="15" borderId="7" xfId="0" applyFont="1" applyFill="1" applyBorder="1" applyAlignment="1">
      <alignment wrapText="1"/>
    </xf>
    <xf numFmtId="0" fontId="0" fillId="0" borderId="7" xfId="0" applyBorder="1"/>
    <xf numFmtId="0" fontId="0" fillId="6" borderId="7" xfId="0" applyFill="1" applyBorder="1"/>
    <xf numFmtId="165" fontId="63" fillId="6" borderId="7" xfId="3" applyNumberFormat="1" applyFont="1" applyFill="1" applyBorder="1"/>
    <xf numFmtId="9" fontId="11" fillId="6" borderId="7" xfId="0" applyNumberFormat="1" applyFont="1" applyFill="1" applyBorder="1"/>
    <xf numFmtId="165" fontId="50" fillId="6" borderId="7" xfId="0" applyNumberFormat="1" applyFont="1" applyFill="1" applyBorder="1"/>
    <xf numFmtId="9" fontId="11" fillId="0" borderId="7" xfId="0" applyNumberFormat="1" applyFont="1" applyBorder="1"/>
    <xf numFmtId="165" fontId="51" fillId="6" borderId="7" xfId="0" applyNumberFormat="1" applyFont="1" applyFill="1" applyBorder="1"/>
    <xf numFmtId="165" fontId="11" fillId="0" borderId="7" xfId="0" applyNumberFormat="1" applyFont="1" applyBorder="1"/>
    <xf numFmtId="0" fontId="50" fillId="6" borderId="10" xfId="0" applyFont="1" applyFill="1" applyBorder="1"/>
    <xf numFmtId="0" fontId="0" fillId="0" borderId="10" xfId="0" applyBorder="1"/>
    <xf numFmtId="0" fontId="0" fillId="6" borderId="10" xfId="0" applyFill="1" applyBorder="1"/>
    <xf numFmtId="0" fontId="50" fillId="6" borderId="8" xfId="0" applyFont="1" applyFill="1" applyBorder="1"/>
    <xf numFmtId="0" fontId="0" fillId="0" borderId="8" xfId="0" applyBorder="1"/>
    <xf numFmtId="0" fontId="0" fillId="6" borderId="8" xfId="0" applyFill="1" applyBorder="1"/>
    <xf numFmtId="165" fontId="63" fillId="6" borderId="8" xfId="3" applyNumberFormat="1" applyFont="1" applyFill="1" applyBorder="1"/>
    <xf numFmtId="165" fontId="63" fillId="6" borderId="10" xfId="3" applyNumberFormat="1" applyFont="1" applyFill="1" applyBorder="1"/>
    <xf numFmtId="9" fontId="11" fillId="6" borderId="10" xfId="0" applyNumberFormat="1" applyFont="1" applyFill="1" applyBorder="1"/>
    <xf numFmtId="9" fontId="11" fillId="6" borderId="8" xfId="0" applyNumberFormat="1" applyFont="1" applyFill="1" applyBorder="1"/>
    <xf numFmtId="165" fontId="50" fillId="6" borderId="8" xfId="0" applyNumberFormat="1" applyFont="1" applyFill="1" applyBorder="1"/>
    <xf numFmtId="9" fontId="11" fillId="0" borderId="10" xfId="0" applyNumberFormat="1" applyFont="1" applyBorder="1"/>
    <xf numFmtId="9" fontId="11" fillId="0" borderId="8" xfId="0" applyNumberFormat="1" applyFont="1" applyBorder="1"/>
    <xf numFmtId="165" fontId="51" fillId="6" borderId="10" xfId="0" applyNumberFormat="1" applyFont="1" applyFill="1" applyBorder="1"/>
    <xf numFmtId="165" fontId="11" fillId="0" borderId="10" xfId="0" applyNumberFormat="1" applyFont="1" applyBorder="1"/>
    <xf numFmtId="165" fontId="51" fillId="6" borderId="8" xfId="0" applyNumberFormat="1" applyFont="1" applyFill="1" applyBorder="1"/>
    <xf numFmtId="165" fontId="11" fillId="0" borderId="8" xfId="0" applyNumberFormat="1" applyFont="1" applyBorder="1"/>
    <xf numFmtId="165" fontId="8" fillId="6" borderId="9" xfId="3" applyNumberFormat="1" applyFont="1" applyFill="1" applyBorder="1" applyAlignment="1">
      <alignment horizontal="right" vertical="center"/>
    </xf>
    <xf numFmtId="165" fontId="50" fillId="6" borderId="9" xfId="3" applyNumberFormat="1" applyFont="1" applyFill="1" applyBorder="1" applyAlignment="1">
      <alignment horizontal="right"/>
    </xf>
    <xf numFmtId="0" fontId="50" fillId="0" borderId="9" xfId="0" applyFont="1" applyBorder="1"/>
    <xf numFmtId="2" fontId="50" fillId="6" borderId="9" xfId="3" applyNumberFormat="1" applyFont="1" applyFill="1" applyBorder="1" applyAlignment="1">
      <alignment horizontal="right"/>
    </xf>
    <xf numFmtId="0" fontId="0" fillId="14" borderId="9" xfId="0" applyFill="1" applyBorder="1"/>
    <xf numFmtId="2" fontId="52" fillId="6" borderId="9" xfId="3" applyNumberFormat="1" applyFont="1" applyFill="1" applyBorder="1" applyAlignment="1">
      <alignment horizontal="right"/>
    </xf>
    <xf numFmtId="165" fontId="0" fillId="0" borderId="9" xfId="0" applyNumberFormat="1" applyBorder="1"/>
    <xf numFmtId="2" fontId="64" fillId="6" borderId="9" xfId="3" applyNumberFormat="1" applyFont="1" applyFill="1" applyBorder="1" applyAlignment="1">
      <alignment horizontal="right"/>
    </xf>
    <xf numFmtId="172" fontId="64" fillId="6" borderId="9" xfId="3" applyNumberFormat="1" applyFont="1" applyFill="1" applyBorder="1" applyAlignment="1">
      <alignment horizontal="right"/>
    </xf>
    <xf numFmtId="0" fontId="64" fillId="6" borderId="9" xfId="3" applyNumberFormat="1" applyFont="1" applyFill="1" applyBorder="1" applyAlignment="1">
      <alignment horizontal="right"/>
    </xf>
    <xf numFmtId="9" fontId="0" fillId="6" borderId="9" xfId="0" applyNumberFormat="1" applyFill="1" applyBorder="1"/>
    <xf numFmtId="9" fontId="0" fillId="0" borderId="9" xfId="0" applyNumberFormat="1" applyBorder="1"/>
    <xf numFmtId="172" fontId="65" fillId="6" borderId="9" xfId="3" applyNumberFormat="1" applyFont="1" applyFill="1" applyBorder="1" applyAlignment="1">
      <alignment horizontal="right"/>
    </xf>
    <xf numFmtId="172" fontId="11" fillId="0" borderId="9" xfId="0" applyNumberFormat="1" applyFont="1" applyBorder="1"/>
    <xf numFmtId="0" fontId="11" fillId="0" borderId="9" xfId="0" applyFont="1" applyBorder="1"/>
    <xf numFmtId="0" fontId="0" fillId="0" borderId="0" xfId="0" quotePrefix="1" applyAlignment="1">
      <alignment horizontal="center"/>
    </xf>
    <xf numFmtId="0" fontId="0" fillId="5" borderId="11" xfId="0" applyFill="1" applyBorder="1" applyAlignment="1">
      <alignment horizontal="center"/>
    </xf>
    <xf numFmtId="0" fontId="0" fillId="4" borderId="11" xfId="0" applyFill="1" applyBorder="1" applyAlignment="1">
      <alignment horizontal="center"/>
    </xf>
    <xf numFmtId="0" fontId="0" fillId="17" borderId="11" xfId="0" applyFill="1" applyBorder="1" applyAlignment="1">
      <alignment horizontal="center"/>
    </xf>
    <xf numFmtId="0" fontId="0" fillId="10" borderId="11" xfId="0" applyFill="1" applyBorder="1" applyAlignment="1">
      <alignment horizontal="center"/>
    </xf>
    <xf numFmtId="0" fontId="0" fillId="0" borderId="0" xfId="0" applyAlignment="1">
      <alignment horizontal="center"/>
    </xf>
    <xf numFmtId="0" fontId="11" fillId="0" borderId="0" xfId="0" quotePrefix="1" applyFont="1"/>
    <xf numFmtId="0" fontId="11" fillId="0" borderId="0" xfId="0" applyFont="1" applyAlignment="1">
      <alignment horizontal="center"/>
    </xf>
    <xf numFmtId="0" fontId="0" fillId="17" borderId="0" xfId="0" applyFill="1"/>
    <xf numFmtId="0" fontId="0" fillId="10" borderId="0" xfId="0" applyFill="1"/>
    <xf numFmtId="0" fontId="0" fillId="6" borderId="0" xfId="0" applyFill="1" applyAlignment="1">
      <alignment horizontal="center"/>
    </xf>
    <xf numFmtId="0" fontId="0" fillId="4" borderId="0" xfId="0" applyFill="1"/>
    <xf numFmtId="16" fontId="0" fillId="0" borderId="0" xfId="0" applyNumberFormat="1"/>
    <xf numFmtId="0" fontId="0" fillId="0" borderId="17" xfId="0" applyBorder="1"/>
    <xf numFmtId="0" fontId="0" fillId="0" borderId="17" xfId="0" quotePrefix="1" applyBorder="1" applyAlignment="1">
      <alignment horizontal="center"/>
    </xf>
    <xf numFmtId="0" fontId="0" fillId="0" borderId="17" xfId="0" applyBorder="1" applyAlignment="1">
      <alignment horizontal="center"/>
    </xf>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18" xfId="0" applyBorder="1" applyAlignment="1">
      <alignment horizontal="center"/>
    </xf>
    <xf numFmtId="0" fontId="0" fillId="0" borderId="20" xfId="0" applyBorder="1" applyAlignment="1">
      <alignment horizontal="center"/>
    </xf>
    <xf numFmtId="0" fontId="11" fillId="18" borderId="14" xfId="0" applyFont="1" applyFill="1" applyBorder="1"/>
    <xf numFmtId="0" fontId="0" fillId="18" borderId="16" xfId="0" applyFill="1" applyBorder="1"/>
    <xf numFmtId="0" fontId="0" fillId="18" borderId="15" xfId="0" applyFill="1" applyBorder="1"/>
    <xf numFmtId="0" fontId="0" fillId="5" borderId="18" xfId="0" applyFill="1" applyBorder="1"/>
    <xf numFmtId="0" fontId="0" fillId="4" borderId="18" xfId="0" applyFill="1" applyBorder="1"/>
    <xf numFmtId="0" fontId="0" fillId="0" borderId="19" xfId="0" applyBorder="1"/>
    <xf numFmtId="0" fontId="0" fillId="17" borderId="20" xfId="0" applyFill="1" applyBorder="1"/>
    <xf numFmtId="0" fontId="0" fillId="0" borderId="23" xfId="0" applyBorder="1"/>
    <xf numFmtId="0" fontId="0" fillId="10" borderId="24" xfId="0" applyFill="1" applyBorder="1"/>
    <xf numFmtId="0" fontId="11" fillId="18" borderId="25" xfId="0" applyFont="1" applyFill="1" applyBorder="1"/>
    <xf numFmtId="0" fontId="11" fillId="18" borderId="26" xfId="0" applyFont="1" applyFill="1" applyBorder="1" applyAlignment="1">
      <alignment horizontal="center"/>
    </xf>
    <xf numFmtId="0" fontId="0" fillId="0" borderId="0" xfId="0" applyProtection="1">
      <protection locked="0"/>
    </xf>
    <xf numFmtId="164" fontId="11" fillId="0" borderId="0" xfId="0" applyNumberFormat="1" applyFont="1"/>
    <xf numFmtId="0" fontId="0" fillId="0" borderId="28" xfId="0" applyBorder="1" applyAlignment="1">
      <alignment horizontal="center"/>
    </xf>
    <xf numFmtId="0" fontId="0" fillId="6" borderId="12" xfId="0" applyFill="1" applyBorder="1" applyAlignment="1">
      <alignment horizontal="center"/>
    </xf>
    <xf numFmtId="0" fontId="0" fillId="0" borderId="29" xfId="0" applyBorder="1" applyAlignment="1">
      <alignment horizontal="center"/>
    </xf>
    <xf numFmtId="0" fontId="11" fillId="0" borderId="30" xfId="0" applyFont="1" applyBorder="1" applyAlignment="1">
      <alignment wrapText="1"/>
    </xf>
    <xf numFmtId="0" fontId="11" fillId="0" borderId="30" xfId="0" applyFont="1" applyBorder="1"/>
    <xf numFmtId="0" fontId="11" fillId="0" borderId="31" xfId="0" applyFont="1" applyBorder="1"/>
    <xf numFmtId="0" fontId="11" fillId="0" borderId="32" xfId="0" applyFont="1" applyBorder="1" applyAlignment="1">
      <alignment wrapText="1"/>
    </xf>
    <xf numFmtId="0" fontId="50" fillId="0" borderId="0" xfId="0" applyFont="1" applyAlignment="1">
      <alignment wrapText="1"/>
    </xf>
    <xf numFmtId="0" fontId="66" fillId="6" borderId="0" xfId="0" applyFont="1" applyFill="1"/>
    <xf numFmtId="0" fontId="68" fillId="0" borderId="0" xfId="0" applyFont="1"/>
    <xf numFmtId="0" fontId="69" fillId="6" borderId="0" xfId="0" applyFont="1" applyFill="1"/>
    <xf numFmtId="0" fontId="68" fillId="6" borderId="0" xfId="0" applyFont="1" applyFill="1"/>
    <xf numFmtId="0" fontId="70" fillId="6" borderId="0" xfId="0" applyFont="1" applyFill="1"/>
    <xf numFmtId="0" fontId="71" fillId="6" borderId="0" xfId="0" applyFont="1" applyFill="1"/>
    <xf numFmtId="0" fontId="66" fillId="0" borderId="0" xfId="0" applyFont="1"/>
    <xf numFmtId="0" fontId="72" fillId="6" borderId="0" xfId="0" applyFont="1" applyFill="1"/>
    <xf numFmtId="0" fontId="73" fillId="6" borderId="0" xfId="0" applyFont="1" applyFill="1"/>
    <xf numFmtId="164" fontId="66" fillId="6" borderId="0" xfId="1" applyNumberFormat="1" applyFont="1" applyFill="1" applyBorder="1" applyProtection="1"/>
    <xf numFmtId="0" fontId="8" fillId="5" borderId="0" xfId="0" applyFont="1" applyFill="1" applyAlignment="1">
      <alignment horizontal="left" vertical="center"/>
    </xf>
    <xf numFmtId="0" fontId="3" fillId="5" borderId="0" xfId="0" applyFont="1" applyFill="1" applyAlignment="1">
      <alignment vertical="center"/>
    </xf>
    <xf numFmtId="168" fontId="3" fillId="5" borderId="0" xfId="7" applyFont="1" applyFill="1" applyAlignment="1">
      <alignment horizontal="right"/>
    </xf>
    <xf numFmtId="165" fontId="4" fillId="5" borderId="0" xfId="0" quotePrefix="1" applyNumberFormat="1" applyFont="1" applyFill="1" applyAlignment="1">
      <alignment horizontal="left" vertical="center"/>
    </xf>
    <xf numFmtId="165" fontId="7" fillId="5" borderId="0" xfId="0" applyNumberFormat="1" applyFont="1" applyFill="1" applyAlignment="1">
      <alignment horizontal="left" vertical="center"/>
    </xf>
    <xf numFmtId="0" fontId="74" fillId="0" borderId="0" xfId="0" applyFont="1" applyAlignment="1">
      <alignment wrapText="1"/>
    </xf>
    <xf numFmtId="0" fontId="67" fillId="6" borderId="0" xfId="0" applyFont="1" applyFill="1" applyAlignment="1">
      <alignment vertical="top"/>
    </xf>
    <xf numFmtId="0" fontId="71" fillId="6" borderId="35" xfId="0" applyFont="1" applyFill="1" applyBorder="1"/>
    <xf numFmtId="14" fontId="0" fillId="0" borderId="0" xfId="0" applyNumberFormat="1"/>
    <xf numFmtId="14" fontId="50" fillId="0" borderId="0" xfId="0" applyNumberFormat="1" applyFont="1"/>
    <xf numFmtId="0" fontId="11" fillId="18" borderId="11" xfId="0" applyFont="1" applyFill="1" applyBorder="1"/>
    <xf numFmtId="0" fontId="25" fillId="2" borderId="0" xfId="0" applyFont="1" applyFill="1" applyAlignment="1">
      <alignment horizontal="left" vertical="center"/>
    </xf>
    <xf numFmtId="0" fontId="21" fillId="2" borderId="0" xfId="0" applyFont="1" applyFill="1" applyAlignment="1">
      <alignment vertical="center"/>
    </xf>
    <xf numFmtId="0" fontId="19" fillId="2" borderId="0" xfId="0" applyFont="1" applyFill="1" applyAlignment="1">
      <alignment horizontal="left" vertical="center"/>
    </xf>
    <xf numFmtId="0" fontId="19" fillId="2" borderId="0" xfId="0" quotePrefix="1" applyFont="1" applyFill="1" applyAlignment="1">
      <alignment horizontal="left" vertical="center"/>
    </xf>
    <xf numFmtId="2" fontId="19" fillId="2" borderId="0" xfId="0" applyNumberFormat="1" applyFont="1" applyFill="1" applyAlignment="1">
      <alignment horizontal="right" vertical="center"/>
    </xf>
    <xf numFmtId="0" fontId="19" fillId="2" borderId="0" xfId="0" applyFont="1" applyFill="1" applyAlignment="1">
      <alignment horizontal="right" vertical="center"/>
    </xf>
    <xf numFmtId="0" fontId="1" fillId="2" borderId="0" xfId="0" applyFont="1" applyFill="1"/>
    <xf numFmtId="0" fontId="19" fillId="2" borderId="0" xfId="0" applyFont="1" applyFill="1" applyAlignment="1">
      <alignment vertical="center"/>
    </xf>
    <xf numFmtId="0" fontId="18" fillId="2" borderId="0" xfId="0" applyFont="1" applyFill="1" applyAlignment="1">
      <alignment horizontal="left" vertical="center"/>
    </xf>
    <xf numFmtId="2" fontId="18" fillId="2" borderId="0" xfId="0" applyNumberFormat="1" applyFont="1" applyFill="1" applyAlignment="1">
      <alignment horizontal="right" vertical="center"/>
    </xf>
    <xf numFmtId="0" fontId="28" fillId="2" borderId="0" xfId="0" applyFont="1" applyFill="1" applyAlignment="1">
      <alignment horizontal="left" vertical="center"/>
    </xf>
    <xf numFmtId="0" fontId="2" fillId="2" borderId="0" xfId="0" applyFont="1" applyFill="1" applyAlignment="1">
      <alignment vertical="center"/>
    </xf>
    <xf numFmtId="0" fontId="8" fillId="2" borderId="5" xfId="0" applyFont="1" applyFill="1" applyBorder="1" applyAlignment="1">
      <alignment horizontal="left" vertical="center"/>
    </xf>
    <xf numFmtId="0" fontId="8" fillId="2" borderId="5" xfId="0" applyFont="1" applyFill="1" applyBorder="1" applyAlignment="1">
      <alignment vertical="center"/>
    </xf>
    <xf numFmtId="2" fontId="8" fillId="2" borderId="5" xfId="0" applyNumberFormat="1" applyFont="1" applyFill="1" applyBorder="1" applyAlignment="1">
      <alignment horizontal="right" vertical="center"/>
    </xf>
    <xf numFmtId="0" fontId="8" fillId="2" borderId="5" xfId="0" applyFont="1" applyFill="1" applyBorder="1"/>
    <xf numFmtId="0" fontId="8" fillId="2" borderId="0" xfId="0" applyFont="1" applyFill="1"/>
    <xf numFmtId="0" fontId="8" fillId="2" borderId="0" xfId="0" applyFont="1" applyFill="1" applyAlignment="1">
      <alignment vertical="center"/>
    </xf>
    <xf numFmtId="0" fontId="20" fillId="2" borderId="0" xfId="0" applyFont="1" applyFill="1" applyAlignment="1">
      <alignment horizontal="left" vertical="center"/>
    </xf>
    <xf numFmtId="0" fontId="3" fillId="2" borderId="0" xfId="0" applyFont="1" applyFill="1" applyAlignment="1">
      <alignment horizontal="left" vertical="center"/>
    </xf>
    <xf numFmtId="0" fontId="20" fillId="2" borderId="0" xfId="0" applyFont="1" applyFill="1" applyAlignment="1">
      <alignment vertical="center"/>
    </xf>
    <xf numFmtId="2" fontId="20" fillId="2" borderId="0" xfId="0" applyNumberFormat="1" applyFont="1" applyFill="1" applyAlignment="1">
      <alignment horizontal="right" vertical="center"/>
    </xf>
    <xf numFmtId="0" fontId="1" fillId="2" borderId="0" xfId="0" applyFont="1" applyFill="1" applyAlignment="1">
      <alignment horizontal="centerContinuous" vertical="center"/>
    </xf>
    <xf numFmtId="0" fontId="2" fillId="2" borderId="0" xfId="0" applyFont="1" applyFill="1" applyAlignment="1">
      <alignment horizontal="centerContinuous" vertical="center"/>
    </xf>
    <xf numFmtId="0" fontId="8" fillId="2" borderId="0" xfId="0" applyFont="1" applyFill="1" applyAlignment="1">
      <alignment horizontal="left" vertical="center"/>
    </xf>
    <xf numFmtId="5" fontId="8" fillId="2" borderId="0" xfId="0" applyNumberFormat="1" applyFont="1" applyFill="1" applyAlignment="1">
      <alignment horizontal="right" vertical="center"/>
    </xf>
    <xf numFmtId="0" fontId="1" fillId="2" borderId="0" xfId="0" quotePrefix="1" applyFont="1" applyFill="1" applyAlignment="1">
      <alignment horizontal="centerContinuous" vertical="center"/>
    </xf>
    <xf numFmtId="0" fontId="1" fillId="2" borderId="0" xfId="0" applyFont="1" applyFill="1" applyAlignment="1">
      <alignment horizontal="right" vertical="center"/>
    </xf>
    <xf numFmtId="2" fontId="1" fillId="2" borderId="0" xfId="0" applyNumberFormat="1" applyFont="1" applyFill="1" applyAlignment="1">
      <alignment horizontal="right" vertical="center"/>
    </xf>
    <xf numFmtId="2" fontId="1" fillId="2" borderId="0" xfId="0" applyNumberFormat="1" applyFont="1" applyFill="1" applyAlignment="1">
      <alignment horizontal="centerContinuous" vertical="center"/>
    </xf>
    <xf numFmtId="0" fontId="8" fillId="2" borderId="0" xfId="0" applyFont="1" applyFill="1" applyAlignment="1">
      <alignment horizontal="right" vertical="center"/>
    </xf>
    <xf numFmtId="0" fontId="1" fillId="2" borderId="0" xfId="0" quotePrefix="1" applyFont="1" applyFill="1" applyAlignment="1">
      <alignment horizontal="right" vertical="center"/>
    </xf>
    <xf numFmtId="0" fontId="3" fillId="2" borderId="0" xfId="0" applyFont="1" applyFill="1" applyAlignment="1">
      <alignment vertical="center"/>
    </xf>
    <xf numFmtId="0" fontId="3" fillId="2" borderId="0" xfId="0" applyFont="1" applyFill="1"/>
    <xf numFmtId="0" fontId="8" fillId="2" borderId="5" xfId="0" applyFont="1" applyFill="1" applyBorder="1" applyAlignment="1">
      <alignment horizontal="right" vertical="center"/>
    </xf>
    <xf numFmtId="3" fontId="8" fillId="2" borderId="0" xfId="0" applyNumberFormat="1" applyFont="1" applyFill="1" applyAlignment="1">
      <alignment horizontal="right" vertical="center"/>
    </xf>
    <xf numFmtId="3" fontId="8" fillId="8" borderId="0" xfId="0" applyNumberFormat="1" applyFont="1" applyFill="1" applyAlignment="1">
      <alignment horizontal="right" vertical="center"/>
    </xf>
    <xf numFmtId="2" fontId="8" fillId="8" borderId="0" xfId="0" applyNumberFormat="1" applyFont="1" applyFill="1" applyAlignment="1">
      <alignment horizontal="right" vertical="center"/>
    </xf>
    <xf numFmtId="172" fontId="8" fillId="8" borderId="0" xfId="0" applyNumberFormat="1" applyFont="1" applyFill="1" applyAlignment="1">
      <alignment horizontal="right" vertical="center"/>
    </xf>
    <xf numFmtId="172" fontId="8" fillId="2" borderId="0" xfId="0" applyNumberFormat="1" applyFont="1" applyFill="1" applyAlignment="1">
      <alignment horizontal="left" vertical="center"/>
    </xf>
    <xf numFmtId="172" fontId="3" fillId="2" borderId="0" xfId="0" applyNumberFormat="1" applyFont="1" applyFill="1" applyAlignment="1">
      <alignment vertical="center"/>
    </xf>
    <xf numFmtId="172" fontId="8" fillId="2" borderId="0" xfId="0" applyNumberFormat="1" applyFont="1" applyFill="1" applyAlignment="1">
      <alignment horizontal="right" vertical="center"/>
    </xf>
    <xf numFmtId="172" fontId="8" fillId="2" borderId="0" xfId="0" applyNumberFormat="1" applyFont="1" applyFill="1" applyAlignment="1">
      <alignment vertical="center"/>
    </xf>
    <xf numFmtId="2" fontId="8" fillId="8" borderId="56" xfId="7" applyNumberFormat="1" applyFont="1" applyFill="1" applyBorder="1" applyAlignment="1">
      <alignment horizontal="right" vertical="center"/>
    </xf>
    <xf numFmtId="2" fontId="8" fillId="8" borderId="0" xfId="7" applyNumberFormat="1" applyFont="1" applyFill="1" applyAlignment="1">
      <alignment horizontal="right" vertical="center"/>
    </xf>
    <xf numFmtId="0" fontId="26" fillId="2" borderId="0" xfId="0" applyFont="1" applyFill="1" applyAlignment="1">
      <alignment horizontal="left" vertical="center"/>
    </xf>
    <xf numFmtId="0" fontId="27" fillId="2" borderId="0" xfId="0" applyFont="1" applyFill="1" applyAlignment="1">
      <alignment vertical="center"/>
    </xf>
    <xf numFmtId="0" fontId="27" fillId="2" borderId="0" xfId="0" applyFont="1" applyFill="1" applyAlignment="1">
      <alignment horizontal="centerContinuous" vertical="center"/>
    </xf>
    <xf numFmtId="2" fontId="26" fillId="8" borderId="0" xfId="7" applyNumberFormat="1" applyFont="1" applyFill="1" applyAlignment="1">
      <alignment horizontal="centerContinuous" vertical="center"/>
    </xf>
    <xf numFmtId="168" fontId="26" fillId="8" borderId="0" xfId="7" applyFont="1" applyFill="1" applyAlignment="1">
      <alignment horizontal="centerContinuous" vertical="center"/>
    </xf>
    <xf numFmtId="0" fontId="26" fillId="2" borderId="0" xfId="0" applyFont="1" applyFill="1"/>
    <xf numFmtId="168" fontId="3" fillId="8" borderId="0" xfId="7" applyFont="1" applyFill="1" applyAlignment="1">
      <alignment horizontal="right"/>
    </xf>
    <xf numFmtId="165" fontId="4" fillId="2" borderId="0" xfId="0" quotePrefix="1" applyNumberFormat="1" applyFont="1" applyFill="1" applyAlignment="1">
      <alignment horizontal="left" vertical="center"/>
    </xf>
    <xf numFmtId="165" fontId="4" fillId="2" borderId="0" xfId="0" applyNumberFormat="1" applyFont="1" applyFill="1" applyAlignment="1">
      <alignment horizontal="center" vertical="center"/>
    </xf>
    <xf numFmtId="165" fontId="4" fillId="2" borderId="0" xfId="0" applyNumberFormat="1" applyFont="1" applyFill="1" applyAlignment="1">
      <alignment vertical="center"/>
    </xf>
    <xf numFmtId="165" fontId="8" fillId="8" borderId="0" xfId="0" applyNumberFormat="1" applyFont="1" applyFill="1" applyAlignment="1">
      <alignment horizontal="right" vertical="center"/>
    </xf>
    <xf numFmtId="165" fontId="8" fillId="2" borderId="0" xfId="0" applyNumberFormat="1" applyFont="1" applyFill="1"/>
    <xf numFmtId="1" fontId="5" fillId="2" borderId="0" xfId="0" quotePrefix="1" applyNumberFormat="1" applyFont="1" applyFill="1" applyAlignment="1">
      <alignment horizontal="left" vertical="center"/>
    </xf>
    <xf numFmtId="1" fontId="5" fillId="2" borderId="0" xfId="0" quotePrefix="1" applyNumberFormat="1" applyFont="1" applyFill="1" applyAlignment="1">
      <alignment horizontal="center" vertical="center"/>
    </xf>
    <xf numFmtId="1" fontId="5" fillId="2" borderId="0" xfId="0" applyNumberFormat="1" applyFont="1" applyFill="1" applyAlignment="1">
      <alignment vertical="center"/>
    </xf>
    <xf numFmtId="1" fontId="9" fillId="8" borderId="0" xfId="0" applyNumberFormat="1" applyFont="1" applyFill="1" applyAlignment="1">
      <alignment horizontal="right" vertical="center"/>
    </xf>
    <xf numFmtId="1" fontId="8" fillId="2" borderId="0" xfId="0" applyNumberFormat="1" applyFont="1" applyFill="1"/>
    <xf numFmtId="1" fontId="5" fillId="2" borderId="0" xfId="0" applyNumberFormat="1" applyFont="1" applyFill="1" applyAlignment="1">
      <alignment horizontal="left" vertical="center"/>
    </xf>
    <xf numFmtId="166" fontId="8" fillId="8" borderId="0" xfId="0" applyNumberFormat="1" applyFont="1" applyFill="1" applyAlignment="1">
      <alignment horizontal="right" vertical="center"/>
    </xf>
    <xf numFmtId="0" fontId="4" fillId="2" borderId="0" xfId="0" applyFont="1" applyFill="1" applyAlignment="1">
      <alignment horizontal="center" vertical="center"/>
    </xf>
    <xf numFmtId="0" fontId="3" fillId="2" borderId="5" xfId="0" applyFont="1" applyFill="1" applyBorder="1" applyAlignment="1">
      <alignment horizontal="left"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xf>
    <xf numFmtId="2" fontId="3" fillId="8" borderId="0" xfId="0" applyNumberFormat="1" applyFont="1" applyFill="1" applyAlignment="1">
      <alignment horizontal="right"/>
    </xf>
    <xf numFmtId="165" fontId="7" fillId="2" borderId="0" xfId="0" applyNumberFormat="1" applyFont="1" applyFill="1" applyAlignment="1">
      <alignment horizontal="left" vertical="center"/>
    </xf>
    <xf numFmtId="165" fontId="7" fillId="2" borderId="0" xfId="0" applyNumberFormat="1" applyFont="1" applyFill="1" applyAlignment="1">
      <alignment vertical="center"/>
    </xf>
    <xf numFmtId="0" fontId="7" fillId="2" borderId="0" xfId="0" applyFont="1" applyFill="1" applyAlignment="1">
      <alignment horizontal="center" vertical="center"/>
    </xf>
    <xf numFmtId="165" fontId="7" fillId="2" borderId="0" xfId="0" applyNumberFormat="1" applyFont="1" applyFill="1" applyAlignment="1">
      <alignment horizontal="center" vertical="center"/>
    </xf>
    <xf numFmtId="165" fontId="1" fillId="8" borderId="0" xfId="0" applyNumberFormat="1" applyFont="1" applyFill="1" applyAlignment="1">
      <alignment horizontal="right" vertical="center"/>
    </xf>
    <xf numFmtId="0" fontId="2" fillId="2" borderId="5" xfId="0" applyFont="1" applyFill="1" applyBorder="1" applyAlignment="1">
      <alignment horizontal="left" vertical="center"/>
    </xf>
    <xf numFmtId="2" fontId="23" fillId="2" borderId="5" xfId="0" applyNumberFormat="1" applyFont="1" applyFill="1" applyBorder="1" applyAlignment="1">
      <alignment horizontal="left" vertical="center"/>
    </xf>
    <xf numFmtId="0" fontId="2" fillId="2" borderId="5" xfId="0" applyFont="1" applyFill="1" applyBorder="1" applyAlignment="1">
      <alignment horizontal="center" vertical="center"/>
    </xf>
    <xf numFmtId="0" fontId="3" fillId="2" borderId="5" xfId="0" applyFont="1" applyFill="1" applyBorder="1" applyAlignment="1">
      <alignment vertical="center"/>
    </xf>
    <xf numFmtId="0" fontId="1" fillId="8" borderId="56" xfId="0" applyFont="1" applyFill="1" applyBorder="1" applyAlignment="1">
      <alignment horizontal="right" vertical="center"/>
    </xf>
    <xf numFmtId="0" fontId="2" fillId="2" borderId="0" xfId="0" applyFont="1" applyFill="1" applyAlignment="1">
      <alignment horizontal="left" vertical="center"/>
    </xf>
    <xf numFmtId="2" fontId="23" fillId="2" borderId="0" xfId="0" applyNumberFormat="1" applyFont="1" applyFill="1" applyAlignment="1">
      <alignment horizontal="left" vertical="center"/>
    </xf>
    <xf numFmtId="0" fontId="2" fillId="2" borderId="0" xfId="0" applyFont="1" applyFill="1" applyAlignment="1">
      <alignment horizontal="center" vertical="center"/>
    </xf>
    <xf numFmtId="0" fontId="1" fillId="8" borderId="0" xfId="0" applyFont="1" applyFill="1" applyAlignment="1">
      <alignment horizontal="right" vertical="center"/>
    </xf>
    <xf numFmtId="0" fontId="7" fillId="2" borderId="0" xfId="0" applyFont="1" applyFill="1" applyAlignment="1">
      <alignment horizontal="left" vertical="center"/>
    </xf>
    <xf numFmtId="0" fontId="7" fillId="2" borderId="0" xfId="0" applyFont="1" applyFill="1" applyAlignment="1">
      <alignment vertical="center"/>
    </xf>
    <xf numFmtId="0" fontId="4" fillId="2" borderId="0" xfId="0" applyFont="1" applyFill="1" applyAlignment="1">
      <alignment vertical="center"/>
    </xf>
    <xf numFmtId="165" fontId="7" fillId="2" borderId="0" xfId="0" quotePrefix="1" applyNumberFormat="1" applyFont="1" applyFill="1" applyAlignment="1">
      <alignment horizontal="left" vertical="center"/>
    </xf>
    <xf numFmtId="2" fontId="5" fillId="2" borderId="5" xfId="0" applyNumberFormat="1" applyFont="1" applyFill="1" applyBorder="1" applyAlignment="1">
      <alignment horizontal="left" vertical="center"/>
    </xf>
    <xf numFmtId="168" fontId="3" fillId="8" borderId="56" xfId="7" applyFont="1" applyFill="1" applyBorder="1" applyAlignment="1">
      <alignment horizontal="right" vertical="center"/>
    </xf>
    <xf numFmtId="2" fontId="5" fillId="2" borderId="0" xfId="0" applyNumberFormat="1" applyFont="1" applyFill="1" applyAlignment="1">
      <alignment horizontal="left" vertical="center"/>
    </xf>
    <xf numFmtId="1" fontId="8" fillId="2" borderId="0" xfId="0" applyNumberFormat="1" applyFont="1" applyFill="1" applyAlignment="1">
      <alignment vertical="center"/>
    </xf>
    <xf numFmtId="2" fontId="4" fillId="2" borderId="0" xfId="0" applyNumberFormat="1" applyFont="1" applyFill="1" applyAlignment="1">
      <alignment horizontal="left"/>
    </xf>
    <xf numFmtId="0" fontId="3" fillId="2" borderId="0" xfId="0" applyFont="1" applyFill="1" applyAlignment="1">
      <alignment horizontal="right"/>
    </xf>
    <xf numFmtId="0" fontId="8" fillId="2" borderId="0" xfId="0" applyFont="1" applyFill="1" applyAlignment="1">
      <alignment horizontal="left"/>
    </xf>
    <xf numFmtId="0" fontId="8" fillId="2" borderId="0" xfId="0" applyFont="1" applyFill="1" applyAlignment="1">
      <alignment horizontal="center"/>
    </xf>
    <xf numFmtId="0" fontId="8" fillId="2" borderId="0" xfId="0" applyFont="1" applyFill="1" applyAlignment="1">
      <alignment horizontal="right"/>
    </xf>
    <xf numFmtId="0" fontId="8" fillId="2" borderId="0" xfId="0" quotePrefix="1" applyFont="1" applyFill="1" applyAlignment="1">
      <alignment horizontal="right"/>
    </xf>
    <xf numFmtId="2" fontId="8" fillId="2" borderId="0" xfId="0" applyNumberFormat="1" applyFont="1" applyFill="1" applyAlignment="1">
      <alignment horizontal="left"/>
    </xf>
    <xf numFmtId="0" fontId="8" fillId="2" borderId="0" xfId="0" applyFont="1" applyFill="1" applyAlignment="1">
      <alignment horizontal="center" vertical="center"/>
    </xf>
    <xf numFmtId="0" fontId="55" fillId="17" borderId="0" xfId="0" applyFont="1" applyFill="1"/>
    <xf numFmtId="43" fontId="11" fillId="5" borderId="0" xfId="1" applyFont="1" applyFill="1"/>
    <xf numFmtId="43" fontId="10" fillId="0" borderId="0" xfId="1" applyFont="1" applyFill="1"/>
    <xf numFmtId="165" fontId="4" fillId="0" borderId="0" xfId="0" applyNumberFormat="1" applyFont="1" applyAlignment="1">
      <alignment horizontal="left" vertical="center"/>
    </xf>
    <xf numFmtId="43" fontId="0" fillId="0" borderId="0" xfId="1" applyFont="1" applyFill="1"/>
    <xf numFmtId="165" fontId="4" fillId="0" borderId="0" xfId="0" applyNumberFormat="1" applyFont="1" applyAlignment="1">
      <alignment vertical="center"/>
    </xf>
    <xf numFmtId="167" fontId="0" fillId="0" borderId="0" xfId="2" applyNumberFormat="1" applyFont="1" applyFill="1"/>
    <xf numFmtId="0" fontId="1" fillId="0" borderId="0" xfId="0" applyFont="1" applyAlignment="1">
      <alignment horizontal="right" vertical="center"/>
    </xf>
    <xf numFmtId="0" fontId="2" fillId="0" borderId="0" xfId="0" applyFont="1" applyAlignment="1">
      <alignment vertical="center"/>
    </xf>
    <xf numFmtId="0" fontId="3" fillId="0" borderId="0" xfId="0" applyFont="1"/>
    <xf numFmtId="165" fontId="8" fillId="0" borderId="0" xfId="3" applyNumberFormat="1" applyFont="1" applyAlignment="1">
      <alignment horizontal="right" vertical="center"/>
    </xf>
    <xf numFmtId="166" fontId="8" fillId="0" borderId="0" xfId="3" applyNumberFormat="1" applyFont="1" applyAlignment="1">
      <alignment horizontal="right" vertical="center"/>
    </xf>
    <xf numFmtId="1" fontId="5" fillId="0" borderId="0" xfId="0" applyNumberFormat="1" applyFont="1" applyAlignment="1">
      <alignment horizontal="left" vertical="center"/>
    </xf>
    <xf numFmtId="1" fontId="9" fillId="0" borderId="5" xfId="0" applyNumberFormat="1" applyFont="1" applyBorder="1" applyAlignment="1">
      <alignment horizontal="right" vertical="center"/>
    </xf>
    <xf numFmtId="165" fontId="8" fillId="0" borderId="0" xfId="0" applyNumberFormat="1" applyFont="1" applyAlignment="1">
      <alignment horizontal="right" vertical="center"/>
    </xf>
    <xf numFmtId="1" fontId="5" fillId="0" borderId="0" xfId="0" quotePrefix="1" applyNumberFormat="1" applyFont="1" applyAlignment="1">
      <alignment horizontal="left" vertical="center"/>
    </xf>
    <xf numFmtId="0" fontId="3" fillId="0" borderId="0" xfId="0" applyFont="1" applyAlignment="1">
      <alignment horizontal="left" vertical="center"/>
    </xf>
    <xf numFmtId="2" fontId="3" fillId="0" borderId="0" xfId="0" applyNumberFormat="1" applyFont="1" applyAlignment="1">
      <alignment horizontal="right"/>
    </xf>
    <xf numFmtId="2" fontId="8" fillId="0" borderId="0" xfId="0" applyNumberFormat="1" applyFont="1" applyAlignment="1">
      <alignment horizontal="right"/>
    </xf>
    <xf numFmtId="165" fontId="7" fillId="0" borderId="0" xfId="0" applyNumberFormat="1" applyFont="1" applyAlignment="1">
      <alignment vertical="center"/>
    </xf>
    <xf numFmtId="165" fontId="1" fillId="0" borderId="5" xfId="0" applyNumberFormat="1" applyFont="1" applyBorder="1" applyAlignment="1">
      <alignment horizontal="right" vertical="center"/>
    </xf>
    <xf numFmtId="166" fontId="8" fillId="5" borderId="0" xfId="0" applyNumberFormat="1" applyFont="1" applyFill="1" applyAlignment="1">
      <alignment horizontal="right" vertical="center"/>
    </xf>
    <xf numFmtId="1" fontId="9" fillId="5" borderId="0" xfId="0" applyNumberFormat="1" applyFont="1" applyFill="1" applyAlignment="1">
      <alignment horizontal="right" vertical="center"/>
    </xf>
    <xf numFmtId="165" fontId="1" fillId="5" borderId="0" xfId="0" applyNumberFormat="1" applyFont="1" applyFill="1" applyAlignment="1">
      <alignment horizontal="right" vertical="center"/>
    </xf>
    <xf numFmtId="0" fontId="1" fillId="6" borderId="56" xfId="0" applyFont="1" applyFill="1" applyBorder="1" applyAlignment="1">
      <alignment horizontal="right" vertical="center"/>
    </xf>
    <xf numFmtId="0" fontId="1" fillId="6" borderId="0" xfId="0" applyFont="1" applyFill="1" applyAlignment="1">
      <alignment horizontal="right" vertical="center"/>
    </xf>
    <xf numFmtId="165" fontId="1" fillId="6" borderId="0" xfId="0" applyNumberFormat="1" applyFont="1" applyFill="1" applyAlignment="1">
      <alignment horizontal="right" vertical="center"/>
    </xf>
    <xf numFmtId="168" fontId="3" fillId="6" borderId="56" xfId="7" applyFont="1" applyFill="1" applyBorder="1" applyAlignment="1">
      <alignment horizontal="right" vertical="center"/>
    </xf>
    <xf numFmtId="168" fontId="3" fillId="6" borderId="56" xfId="7" applyFont="1" applyFill="1" applyBorder="1" applyAlignment="1">
      <alignment horizontal="center" vertical="center"/>
    </xf>
    <xf numFmtId="168" fontId="1" fillId="4" borderId="0" xfId="3" applyFont="1" applyFill="1"/>
    <xf numFmtId="2" fontId="8" fillId="4" borderId="5" xfId="3" applyNumberFormat="1" applyFont="1" applyFill="1" applyBorder="1" applyAlignment="1">
      <alignment horizontal="right" vertical="center"/>
    </xf>
    <xf numFmtId="2" fontId="20" fillId="4" borderId="0" xfId="3" applyNumberFormat="1" applyFont="1" applyFill="1" applyAlignment="1">
      <alignment horizontal="right" vertical="center"/>
    </xf>
    <xf numFmtId="168" fontId="1" fillId="4" borderId="0" xfId="3" applyFont="1" applyFill="1" applyAlignment="1">
      <alignment horizontal="centerContinuous" vertical="center"/>
    </xf>
    <xf numFmtId="168" fontId="1" fillId="4" borderId="0" xfId="3" applyFont="1" applyFill="1" applyAlignment="1">
      <alignment horizontal="right" vertical="center"/>
    </xf>
    <xf numFmtId="168" fontId="2" fillId="4" borderId="0" xfId="3" applyFont="1" applyFill="1" applyAlignment="1">
      <alignment vertical="center"/>
    </xf>
    <xf numFmtId="3" fontId="8" fillId="4" borderId="0" xfId="3" applyNumberFormat="1" applyFont="1" applyFill="1" applyAlignment="1">
      <alignment horizontal="right" vertical="center"/>
    </xf>
    <xf numFmtId="38" fontId="8" fillId="4" borderId="0" xfId="4" applyNumberFormat="1" applyFont="1" applyFill="1" applyAlignment="1">
      <alignment horizontal="right" vertical="center"/>
    </xf>
    <xf numFmtId="2" fontId="8" fillId="4" borderId="0" xfId="3" applyNumberFormat="1" applyFont="1" applyFill="1" applyAlignment="1">
      <alignment horizontal="right" vertical="center"/>
    </xf>
    <xf numFmtId="172" fontId="8" fillId="4" borderId="0" xfId="3" applyNumberFormat="1" applyFont="1" applyFill="1" applyAlignment="1">
      <alignment horizontal="right" vertical="center"/>
    </xf>
    <xf numFmtId="168" fontId="3" fillId="4" borderId="0" xfId="3" applyFont="1" applyFill="1" applyAlignment="1">
      <alignment horizontal="right"/>
    </xf>
    <xf numFmtId="165" fontId="8" fillId="4" borderId="0" xfId="3" applyNumberFormat="1" applyFont="1" applyFill="1" applyAlignment="1">
      <alignment horizontal="right" vertical="center"/>
    </xf>
    <xf numFmtId="1" fontId="9" fillId="4" borderId="0" xfId="3" applyNumberFormat="1" applyFont="1" applyFill="1" applyAlignment="1">
      <alignment horizontal="right" vertical="center"/>
    </xf>
    <xf numFmtId="166" fontId="8" fillId="4" borderId="0" xfId="3" applyNumberFormat="1" applyFont="1" applyFill="1" applyAlignment="1">
      <alignment horizontal="right" vertical="center"/>
    </xf>
    <xf numFmtId="2" fontId="8" fillId="4" borderId="6" xfId="3" applyNumberFormat="1" applyFont="1" applyFill="1" applyBorder="1" applyAlignment="1">
      <alignment horizontal="right"/>
    </xf>
    <xf numFmtId="165" fontId="1" fillId="4" borderId="0" xfId="3" applyNumberFormat="1" applyFont="1" applyFill="1" applyAlignment="1">
      <alignment horizontal="right" vertical="center"/>
    </xf>
    <xf numFmtId="168" fontId="1" fillId="4" borderId="6" xfId="3" applyFont="1" applyFill="1" applyBorder="1" applyAlignment="1">
      <alignment horizontal="right" vertical="center"/>
    </xf>
    <xf numFmtId="168" fontId="3" fillId="4" borderId="5" xfId="3" applyFont="1" applyFill="1" applyBorder="1" applyAlignment="1">
      <alignment horizontal="right" vertical="center"/>
    </xf>
    <xf numFmtId="168" fontId="3" fillId="4" borderId="0" xfId="3" applyFont="1" applyFill="1"/>
    <xf numFmtId="168" fontId="8" fillId="4" borderId="0" xfId="3" applyFont="1" applyFill="1" applyAlignment="1">
      <alignment horizontal="right"/>
    </xf>
    <xf numFmtId="168" fontId="16" fillId="4" borderId="0" xfId="3" applyFill="1"/>
    <xf numFmtId="168" fontId="8" fillId="4" borderId="0" xfId="3" applyFont="1" applyFill="1"/>
    <xf numFmtId="10" fontId="12" fillId="0" borderId="0" xfId="2" applyNumberFormat="1" applyFont="1" applyFill="1"/>
    <xf numFmtId="0" fontId="77" fillId="0" borderId="0" xfId="0" applyFont="1"/>
    <xf numFmtId="0" fontId="67" fillId="20" borderId="48" xfId="0" applyFont="1" applyFill="1" applyBorder="1" applyAlignment="1">
      <alignment horizontal="left" vertical="center"/>
    </xf>
    <xf numFmtId="0" fontId="72" fillId="20" borderId="55" xfId="0" applyFont="1" applyFill="1" applyBorder="1"/>
    <xf numFmtId="0" fontId="74" fillId="6" borderId="57" xfId="0" applyFont="1" applyFill="1" applyBorder="1" applyAlignment="1">
      <alignment vertical="center" wrapText="1"/>
    </xf>
    <xf numFmtId="164" fontId="75" fillId="6" borderId="57" xfId="1" applyNumberFormat="1" applyFont="1" applyFill="1" applyBorder="1" applyAlignment="1" applyProtection="1">
      <alignment horizontal="center" vertical="center"/>
    </xf>
    <xf numFmtId="0" fontId="74" fillId="6" borderId="36" xfId="0" applyFont="1" applyFill="1" applyBorder="1" applyAlignment="1">
      <alignment vertical="center" wrapText="1"/>
    </xf>
    <xf numFmtId="0" fontId="67" fillId="20" borderId="37" xfId="0" applyFont="1" applyFill="1" applyBorder="1" applyAlignment="1">
      <alignment horizontal="left" vertical="center"/>
    </xf>
    <xf numFmtId="0" fontId="67" fillId="20" borderId="55" xfId="0" applyFont="1" applyFill="1" applyBorder="1" applyAlignment="1">
      <alignment horizontal="left" vertical="center"/>
    </xf>
    <xf numFmtId="0" fontId="74" fillId="0" borderId="0" xfId="0" applyFont="1" applyAlignment="1">
      <alignment vertical="center" wrapText="1"/>
    </xf>
    <xf numFmtId="0" fontId="74" fillId="6" borderId="0" xfId="0" applyFont="1" applyFill="1" applyAlignment="1">
      <alignment vertical="center" wrapText="1"/>
    </xf>
    <xf numFmtId="0" fontId="11" fillId="0" borderId="0" xfId="0" applyFont="1" applyAlignment="1">
      <alignment wrapText="1"/>
    </xf>
    <xf numFmtId="0" fontId="66" fillId="0" borderId="0" xfId="0" applyFont="1" applyAlignment="1">
      <alignment vertical="top"/>
    </xf>
    <xf numFmtId="0" fontId="0" fillId="0" borderId="12" xfId="0" applyBorder="1" applyAlignment="1">
      <alignment horizontal="center"/>
    </xf>
    <xf numFmtId="0" fontId="0" fillId="0" borderId="97" xfId="0" applyBorder="1"/>
    <xf numFmtId="0" fontId="86" fillId="0" borderId="0" xfId="0" applyFont="1"/>
    <xf numFmtId="0" fontId="107" fillId="0" borderId="0" xfId="0" applyFont="1"/>
    <xf numFmtId="184" fontId="86" fillId="0" borderId="0" xfId="0" applyNumberFormat="1" applyFont="1" applyAlignment="1">
      <alignment horizontal="center"/>
    </xf>
    <xf numFmtId="2" fontId="86" fillId="0" borderId="0" xfId="0" applyNumberFormat="1" applyFont="1" applyAlignment="1">
      <alignment horizontal="center"/>
    </xf>
    <xf numFmtId="0" fontId="86" fillId="0" borderId="0" xfId="0" applyFont="1" applyAlignment="1">
      <alignment horizontal="center"/>
    </xf>
    <xf numFmtId="164" fontId="86" fillId="0" borderId="0" xfId="0" applyNumberFormat="1" applyFont="1"/>
    <xf numFmtId="3" fontId="86" fillId="0" borderId="0" xfId="0" applyNumberFormat="1" applyFont="1" applyAlignment="1">
      <alignment horizontal="center"/>
    </xf>
    <xf numFmtId="3" fontId="85" fillId="0" borderId="0" xfId="0" applyNumberFormat="1" applyFont="1" applyAlignment="1">
      <alignment horizontal="center"/>
    </xf>
    <xf numFmtId="0" fontId="104" fillId="0" borderId="0" xfId="0" applyFont="1" applyAlignment="1">
      <alignment wrapText="1"/>
    </xf>
    <xf numFmtId="0" fontId="109" fillId="0" borderId="0" xfId="0" applyFont="1" applyAlignment="1">
      <alignment wrapText="1"/>
    </xf>
    <xf numFmtId="0" fontId="108" fillId="0" borderId="0" xfId="0" applyFont="1" applyAlignment="1">
      <alignment vertical="center" wrapText="1"/>
    </xf>
    <xf numFmtId="10" fontId="0" fillId="0" borderId="101" xfId="0" applyNumberFormat="1" applyBorder="1" applyAlignment="1">
      <alignment horizontal="center"/>
    </xf>
    <xf numFmtId="0" fontId="11" fillId="0" borderId="97" xfId="0" applyFont="1" applyBorder="1"/>
    <xf numFmtId="9" fontId="111" fillId="0" borderId="97" xfId="0" applyNumberFormat="1" applyFont="1" applyBorder="1" applyAlignment="1">
      <alignment horizontal="center" vertical="center" wrapText="1" readingOrder="1"/>
    </xf>
    <xf numFmtId="0" fontId="0" fillId="0" borderId="97" xfId="0" applyBorder="1" applyAlignment="1">
      <alignment horizontal="center" vertical="center"/>
    </xf>
    <xf numFmtId="0" fontId="74" fillId="6" borderId="71" xfId="0" applyFont="1" applyFill="1" applyBorder="1" applyAlignment="1">
      <alignment wrapText="1"/>
    </xf>
    <xf numFmtId="0" fontId="74" fillId="0" borderId="72" xfId="0" applyFont="1" applyBorder="1" applyAlignment="1">
      <alignment wrapText="1"/>
    </xf>
    <xf numFmtId="0" fontId="74" fillId="0" borderId="74" xfId="0" applyFont="1" applyBorder="1" applyAlignment="1">
      <alignment wrapText="1"/>
    </xf>
    <xf numFmtId="0" fontId="74" fillId="6" borderId="64" xfId="0" applyFont="1" applyFill="1" applyBorder="1" applyAlignment="1">
      <alignment vertical="center" wrapText="1"/>
    </xf>
    <xf numFmtId="0" fontId="74" fillId="0" borderId="73" xfId="0" applyFont="1" applyBorder="1" applyAlignment="1">
      <alignment wrapText="1"/>
    </xf>
    <xf numFmtId="0" fontId="74" fillId="6" borderId="64" xfId="0" applyFont="1" applyFill="1" applyBorder="1" applyAlignment="1">
      <alignment horizontal="left" vertical="center" wrapText="1"/>
    </xf>
    <xf numFmtId="0" fontId="67" fillId="20" borderId="41" xfId="0" applyFont="1" applyFill="1" applyBorder="1" applyAlignment="1">
      <alignment horizontal="center" vertical="center"/>
    </xf>
    <xf numFmtId="0" fontId="74" fillId="6" borderId="76" xfId="0" applyFont="1" applyFill="1" applyBorder="1" applyAlignment="1">
      <alignment vertical="center" wrapText="1"/>
    </xf>
    <xf numFmtId="0" fontId="66" fillId="0" borderId="77" xfId="0" applyFont="1" applyBorder="1" applyAlignment="1">
      <alignment vertical="center" wrapText="1"/>
    </xf>
    <xf numFmtId="0" fontId="114" fillId="8" borderId="0" xfId="12" applyFont="1" applyFill="1" applyAlignment="1">
      <alignment horizontal="right" vertical="center"/>
    </xf>
    <xf numFmtId="172" fontId="0" fillId="0" borderId="0" xfId="0" applyNumberFormat="1"/>
    <xf numFmtId="1" fontId="4" fillId="5" borderId="0" xfId="0" applyNumberFormat="1" applyFont="1" applyFill="1" applyAlignment="1">
      <alignment horizontal="left" vertical="center"/>
    </xf>
    <xf numFmtId="1" fontId="4" fillId="5" borderId="0" xfId="0" quotePrefix="1" applyNumberFormat="1" applyFont="1" applyFill="1" applyAlignment="1">
      <alignment horizontal="left" vertical="center"/>
    </xf>
    <xf numFmtId="2" fontId="8" fillId="5" borderId="0" xfId="0" applyNumberFormat="1" applyFont="1" applyFill="1" applyAlignment="1">
      <alignment horizontal="right" vertical="center"/>
    </xf>
    <xf numFmtId="0" fontId="113" fillId="0" borderId="0" xfId="12"/>
    <xf numFmtId="0" fontId="86" fillId="18" borderId="0" xfId="0" applyFont="1" applyFill="1"/>
    <xf numFmtId="0" fontId="107" fillId="0" borderId="0" xfId="0" applyFont="1" applyAlignment="1">
      <alignment wrapText="1"/>
    </xf>
    <xf numFmtId="0" fontId="85" fillId="18" borderId="0" xfId="0" applyFont="1" applyFill="1"/>
    <xf numFmtId="5" fontId="86" fillId="0" borderId="0" xfId="0" applyNumberFormat="1" applyFont="1"/>
    <xf numFmtId="164" fontId="86" fillId="0" borderId="0" xfId="1" applyNumberFormat="1" applyFont="1" applyFill="1" applyBorder="1"/>
    <xf numFmtId="164" fontId="85" fillId="18" borderId="0" xfId="0" applyNumberFormat="1" applyFont="1" applyFill="1"/>
    <xf numFmtId="0" fontId="85" fillId="5" borderId="0" xfId="0" applyFont="1" applyFill="1"/>
    <xf numFmtId="0" fontId="86" fillId="5" borderId="0" xfId="0" applyFont="1" applyFill="1"/>
    <xf numFmtId="0" fontId="86" fillId="5" borderId="0" xfId="0" applyFont="1" applyFill="1" applyAlignment="1">
      <alignment horizontal="center"/>
    </xf>
    <xf numFmtId="2" fontId="86" fillId="5" borderId="0" xfId="0" applyNumberFormat="1" applyFont="1" applyFill="1" applyAlignment="1">
      <alignment horizontal="center"/>
    </xf>
    <xf numFmtId="4" fontId="85" fillId="5" borderId="0" xfId="0" applyNumberFormat="1" applyFont="1" applyFill="1" applyAlignment="1">
      <alignment horizontal="center"/>
    </xf>
    <xf numFmtId="0" fontId="107" fillId="5" borderId="0" xfId="0" applyFont="1" applyFill="1"/>
    <xf numFmtId="5" fontId="86" fillId="5" borderId="0" xfId="0" applyNumberFormat="1" applyFont="1" applyFill="1" applyAlignment="1">
      <alignment horizontal="center"/>
    </xf>
    <xf numFmtId="3" fontId="85" fillId="5" borderId="0" xfId="0" applyNumberFormat="1" applyFont="1" applyFill="1" applyAlignment="1">
      <alignment horizontal="center"/>
    </xf>
    <xf numFmtId="0" fontId="95" fillId="0" borderId="0" xfId="0" applyFont="1"/>
    <xf numFmtId="6" fontId="0" fillId="0" borderId="0" xfId="0" applyNumberFormat="1"/>
    <xf numFmtId="167" fontId="109" fillId="0" borderId="0" xfId="0" applyNumberFormat="1" applyFont="1" applyAlignment="1">
      <alignment horizontal="center" wrapText="1"/>
    </xf>
    <xf numFmtId="0" fontId="74" fillId="6" borderId="107" xfId="0" applyFont="1" applyFill="1" applyBorder="1" applyAlignment="1">
      <alignment vertical="center" wrapText="1"/>
    </xf>
    <xf numFmtId="0" fontId="74" fillId="6" borderId="108" xfId="0" applyFont="1" applyFill="1" applyBorder="1" applyAlignment="1">
      <alignment vertical="center" wrapText="1"/>
    </xf>
    <xf numFmtId="0" fontId="74" fillId="6" borderId="109" xfId="0" applyFont="1" applyFill="1" applyBorder="1" applyAlignment="1">
      <alignment vertical="center" wrapText="1"/>
    </xf>
    <xf numFmtId="0" fontId="0" fillId="0" borderId="16" xfId="0" applyBorder="1"/>
    <xf numFmtId="0" fontId="0" fillId="0" borderId="110" xfId="0" applyBorder="1"/>
    <xf numFmtId="171" fontId="0" fillId="0" borderId="0" xfId="1" applyNumberFormat="1" applyFont="1" applyBorder="1"/>
    <xf numFmtId="0" fontId="0" fillId="0" borderId="93" xfId="0" applyBorder="1"/>
    <xf numFmtId="171" fontId="86" fillId="5" borderId="110" xfId="1" applyNumberFormat="1" applyFont="1" applyFill="1" applyBorder="1"/>
    <xf numFmtId="2" fontId="0" fillId="0" borderId="93" xfId="0" applyNumberFormat="1" applyBorder="1" applyAlignment="1">
      <alignment horizontal="center" vertical="center"/>
    </xf>
    <xf numFmtId="171" fontId="86" fillId="0" borderId="110" xfId="1" applyNumberFormat="1" applyFont="1" applyFill="1" applyBorder="1"/>
    <xf numFmtId="0" fontId="86" fillId="18" borderId="93" xfId="0" applyFont="1" applyFill="1" applyBorder="1"/>
    <xf numFmtId="164" fontId="0" fillId="0" borderId="110" xfId="0" applyNumberFormat="1" applyBorder="1"/>
    <xf numFmtId="0" fontId="86" fillId="0" borderId="93" xfId="0" applyFont="1" applyBorder="1"/>
    <xf numFmtId="183" fontId="0" fillId="0" borderId="0" xfId="0" applyNumberFormat="1" applyAlignment="1">
      <alignment horizontal="center"/>
    </xf>
    <xf numFmtId="184" fontId="86" fillId="5" borderId="93" xfId="0" applyNumberFormat="1" applyFont="1" applyFill="1" applyBorder="1" applyAlignment="1">
      <alignment horizontal="center"/>
    </xf>
    <xf numFmtId="184" fontId="86" fillId="0" borderId="93" xfId="0" applyNumberFormat="1" applyFont="1" applyBorder="1" applyAlignment="1">
      <alignment horizontal="center"/>
    </xf>
    <xf numFmtId="164" fontId="11" fillId="0" borderId="110" xfId="0" applyNumberFormat="1" applyFont="1" applyBorder="1"/>
    <xf numFmtId="184" fontId="85" fillId="5" borderId="93" xfId="0" applyNumberFormat="1" applyFont="1" applyFill="1" applyBorder="1" applyAlignment="1">
      <alignment horizontal="center"/>
    </xf>
    <xf numFmtId="171" fontId="85" fillId="5" borderId="110" xfId="1" applyNumberFormat="1" applyFont="1" applyFill="1" applyBorder="1"/>
    <xf numFmtId="0" fontId="86" fillId="0" borderId="110" xfId="0" applyFont="1" applyBorder="1"/>
    <xf numFmtId="164" fontId="0" fillId="0" borderId="0" xfId="0" applyNumberFormat="1" applyAlignment="1">
      <alignment horizontal="center"/>
    </xf>
    <xf numFmtId="0" fontId="86" fillId="5" borderId="110" xfId="0" applyFont="1" applyFill="1" applyBorder="1"/>
    <xf numFmtId="2" fontId="0" fillId="0" borderId="0" xfId="0" applyNumberFormat="1" applyAlignment="1">
      <alignment horizontal="center"/>
    </xf>
    <xf numFmtId="0" fontId="85" fillId="18" borderId="110" xfId="0" applyFont="1" applyFill="1" applyBorder="1"/>
    <xf numFmtId="184" fontId="0" fillId="0" borderId="0" xfId="0" applyNumberFormat="1" applyAlignment="1">
      <alignment horizontal="center"/>
    </xf>
    <xf numFmtId="7" fontId="86" fillId="0" borderId="93" xfId="0" applyNumberFormat="1" applyFont="1" applyBorder="1" applyAlignment="1">
      <alignment horizontal="center"/>
    </xf>
    <xf numFmtId="7" fontId="0" fillId="0" borderId="0" xfId="0" applyNumberFormat="1" applyAlignment="1">
      <alignment horizontal="center"/>
    </xf>
    <xf numFmtId="0" fontId="104" fillId="0" borderId="110" xfId="0" applyFont="1" applyBorder="1" applyAlignment="1">
      <alignment wrapText="1"/>
    </xf>
    <xf numFmtId="10" fontId="104" fillId="0" borderId="0" xfId="0" applyNumberFormat="1" applyFont="1" applyAlignment="1">
      <alignment horizontal="center" wrapText="1"/>
    </xf>
    <xf numFmtId="0" fontId="108" fillId="0" borderId="110" xfId="0" applyFont="1" applyBorder="1" applyAlignment="1">
      <alignment vertical="center" wrapText="1"/>
    </xf>
    <xf numFmtId="0" fontId="0" fillId="0" borderId="111" xfId="0" applyBorder="1"/>
    <xf numFmtId="0" fontId="0" fillId="0" borderId="112" xfId="0" applyBorder="1"/>
    <xf numFmtId="0" fontId="108" fillId="0" borderId="112" xfId="0" applyFont="1" applyBorder="1" applyAlignment="1">
      <alignment vertical="center" wrapText="1"/>
    </xf>
    <xf numFmtId="0" fontId="85" fillId="5" borderId="112" xfId="0" applyFont="1" applyFill="1" applyBorder="1"/>
    <xf numFmtId="184" fontId="85" fillId="5" borderId="113" xfId="0" applyNumberFormat="1" applyFont="1" applyFill="1" applyBorder="1" applyAlignment="1">
      <alignment horizontal="center"/>
    </xf>
    <xf numFmtId="0" fontId="0" fillId="18" borderId="79" xfId="0" applyFill="1" applyBorder="1"/>
    <xf numFmtId="171" fontId="85" fillId="0" borderId="110" xfId="1" applyNumberFormat="1" applyFont="1" applyFill="1" applyBorder="1"/>
    <xf numFmtId="0" fontId="85" fillId="18" borderId="110" xfId="1" applyNumberFormat="1" applyFont="1" applyFill="1" applyBorder="1"/>
    <xf numFmtId="0" fontId="86" fillId="0" borderId="0" xfId="0" applyFont="1" applyAlignment="1">
      <alignment wrapText="1"/>
    </xf>
    <xf numFmtId="10" fontId="86" fillId="0" borderId="0" xfId="0" applyNumberFormat="1" applyFont="1" applyAlignment="1">
      <alignment horizontal="center"/>
    </xf>
    <xf numFmtId="0" fontId="86" fillId="0" borderId="93" xfId="0" applyFont="1" applyBorder="1" applyAlignment="1">
      <alignment wrapText="1"/>
    </xf>
    <xf numFmtId="0" fontId="108" fillId="0" borderId="93" xfId="0" applyFont="1" applyBorder="1" applyAlignment="1">
      <alignment vertical="center" wrapText="1"/>
    </xf>
    <xf numFmtId="5" fontId="86" fillId="0" borderId="0" xfId="0" applyNumberFormat="1" applyFont="1" applyAlignment="1">
      <alignment horizontal="center"/>
    </xf>
    <xf numFmtId="183" fontId="86" fillId="0" borderId="0" xfId="0" applyNumberFormat="1" applyFont="1" applyAlignment="1">
      <alignment horizontal="center"/>
    </xf>
    <xf numFmtId="10" fontId="86" fillId="5" borderId="0" xfId="0" applyNumberFormat="1" applyFont="1" applyFill="1" applyAlignment="1">
      <alignment horizontal="center"/>
    </xf>
    <xf numFmtId="7" fontId="86" fillId="0" borderId="0" xfId="0" applyNumberFormat="1" applyFont="1" applyAlignment="1">
      <alignment horizontal="center"/>
    </xf>
    <xf numFmtId="0" fontId="86" fillId="5" borderId="111" xfId="0" applyFont="1" applyFill="1" applyBorder="1"/>
    <xf numFmtId="0" fontId="86" fillId="5" borderId="112" xfId="0" applyFont="1" applyFill="1" applyBorder="1" applyAlignment="1">
      <alignment horizontal="center"/>
    </xf>
    <xf numFmtId="0" fontId="86" fillId="0" borderId="112" xfId="0" applyFont="1" applyBorder="1"/>
    <xf numFmtId="0" fontId="86" fillId="0" borderId="113" xfId="0" applyFont="1" applyBorder="1"/>
    <xf numFmtId="0" fontId="86" fillId="18" borderId="79" xfId="0" applyFont="1" applyFill="1" applyBorder="1"/>
    <xf numFmtId="0" fontId="85" fillId="18" borderId="79" xfId="0" applyFont="1" applyFill="1" applyBorder="1"/>
    <xf numFmtId="0" fontId="86" fillId="18" borderId="80" xfId="0" applyFont="1" applyFill="1" applyBorder="1"/>
    <xf numFmtId="0" fontId="0" fillId="0" borderId="15" xfId="0" applyBorder="1"/>
    <xf numFmtId="164" fontId="11" fillId="21" borderId="110" xfId="0" applyNumberFormat="1" applyFont="1" applyFill="1" applyBorder="1"/>
    <xf numFmtId="2" fontId="11" fillId="21" borderId="0" xfId="0" applyNumberFormat="1" applyFont="1" applyFill="1" applyAlignment="1">
      <alignment horizontal="center"/>
    </xf>
    <xf numFmtId="2" fontId="0" fillId="18" borderId="93" xfId="0" applyNumberFormat="1" applyFill="1" applyBorder="1" applyAlignment="1">
      <alignment horizontal="center"/>
    </xf>
    <xf numFmtId="2" fontId="0" fillId="0" borderId="93" xfId="0" applyNumberFormat="1" applyBorder="1" applyAlignment="1">
      <alignment horizontal="center"/>
    </xf>
    <xf numFmtId="164" fontId="0" fillId="0" borderId="93" xfId="0" applyNumberFormat="1" applyBorder="1" applyAlignment="1">
      <alignment horizontal="center"/>
    </xf>
    <xf numFmtId="0" fontId="0" fillId="0" borderId="93" xfId="0" applyBorder="1" applyAlignment="1">
      <alignment horizontal="center"/>
    </xf>
    <xf numFmtId="2" fontId="11" fillId="21" borderId="93" xfId="0" applyNumberFormat="1" applyFont="1" applyFill="1" applyBorder="1" applyAlignment="1">
      <alignment horizontal="center"/>
    </xf>
    <xf numFmtId="2" fontId="0" fillId="0" borderId="0" xfId="0" applyNumberFormat="1"/>
    <xf numFmtId="164" fontId="11" fillId="5" borderId="111" xfId="0" applyNumberFormat="1" applyFont="1" applyFill="1" applyBorder="1"/>
    <xf numFmtId="2" fontId="11" fillId="5" borderId="112" xfId="0" applyNumberFormat="1" applyFont="1" applyFill="1" applyBorder="1" applyAlignment="1">
      <alignment horizontal="center"/>
    </xf>
    <xf numFmtId="2" fontId="11" fillId="5" borderId="113" xfId="0" applyNumberFormat="1" applyFont="1" applyFill="1" applyBorder="1" applyAlignment="1">
      <alignment horizontal="center"/>
    </xf>
    <xf numFmtId="0" fontId="0" fillId="0" borderId="114" xfId="0" applyBorder="1"/>
    <xf numFmtId="10" fontId="0" fillId="0" borderId="93" xfId="0" applyNumberFormat="1" applyBorder="1"/>
    <xf numFmtId="0" fontId="0" fillId="6" borderId="110" xfId="0" applyFill="1" applyBorder="1"/>
    <xf numFmtId="164" fontId="0" fillId="0" borderId="111" xfId="1" applyNumberFormat="1" applyFont="1" applyBorder="1"/>
    <xf numFmtId="0" fontId="0" fillId="0" borderId="113" xfId="0" applyBorder="1"/>
    <xf numFmtId="0" fontId="13" fillId="18" borderId="78" xfId="0" applyFont="1" applyFill="1" applyBorder="1"/>
    <xf numFmtId="0" fontId="0" fillId="18" borderId="80" xfId="0" applyFill="1" applyBorder="1"/>
    <xf numFmtId="164" fontId="0" fillId="16" borderId="14" xfId="0" applyNumberFormat="1" applyFill="1" applyBorder="1"/>
    <xf numFmtId="0" fontId="0" fillId="16" borderId="15" xfId="0" applyFill="1" applyBorder="1"/>
    <xf numFmtId="164" fontId="0" fillId="16" borderId="110" xfId="0" applyNumberFormat="1" applyFill="1" applyBorder="1"/>
    <xf numFmtId="0" fontId="0" fillId="16" borderId="93" xfId="0" applyFill="1" applyBorder="1"/>
    <xf numFmtId="164" fontId="0" fillId="16" borderId="111" xfId="0" applyNumberFormat="1" applyFill="1" applyBorder="1"/>
    <xf numFmtId="0" fontId="0" fillId="16" borderId="113" xfId="0" applyFill="1" applyBorder="1"/>
    <xf numFmtId="164" fontId="122" fillId="0" borderId="14" xfId="0" applyNumberFormat="1" applyFont="1" applyBorder="1"/>
    <xf numFmtId="0" fontId="119" fillId="18" borderId="78" xfId="0" applyFont="1" applyFill="1" applyBorder="1"/>
    <xf numFmtId="0" fontId="122" fillId="18" borderId="78" xfId="0" applyFont="1" applyFill="1" applyBorder="1"/>
    <xf numFmtId="0" fontId="0" fillId="0" borderId="0" xfId="0" applyAlignment="1" applyProtection="1">
      <alignment vertical="center"/>
      <protection hidden="1"/>
    </xf>
    <xf numFmtId="9" fontId="0" fillId="0" borderId="0" xfId="0" applyNumberFormat="1" applyAlignment="1" applyProtection="1">
      <alignment vertical="center"/>
      <protection hidden="1"/>
    </xf>
    <xf numFmtId="0" fontId="116" fillId="0" borderId="0" xfId="0" applyFont="1" applyAlignment="1" applyProtection="1">
      <alignment vertical="center"/>
      <protection hidden="1"/>
    </xf>
    <xf numFmtId="17" fontId="90" fillId="18" borderId="11" xfId="0" applyNumberFormat="1" applyFont="1" applyFill="1" applyBorder="1" applyAlignment="1" applyProtection="1">
      <alignment horizontal="center" vertical="center"/>
      <protection hidden="1"/>
    </xf>
    <xf numFmtId="0" fontId="11" fillId="18" borderId="80" xfId="0" applyFont="1" applyFill="1" applyBorder="1" applyAlignment="1" applyProtection="1">
      <alignment horizontal="center" vertical="center"/>
      <protection hidden="1"/>
    </xf>
    <xf numFmtId="0" fontId="0" fillId="0" borderId="28" xfId="0" applyBorder="1" applyAlignment="1" applyProtection="1">
      <alignment vertical="center"/>
      <protection hidden="1"/>
    </xf>
    <xf numFmtId="0" fontId="0" fillId="0" borderId="29" xfId="0" applyBorder="1" applyAlignment="1" applyProtection="1">
      <alignment vertical="center"/>
      <protection hidden="1"/>
    </xf>
    <xf numFmtId="0" fontId="0" fillId="0" borderId="4" xfId="0" applyBorder="1" applyAlignment="1" applyProtection="1">
      <alignment vertical="center"/>
      <protection hidden="1"/>
    </xf>
    <xf numFmtId="0" fontId="0" fillId="0" borderId="1" xfId="0" applyBorder="1" applyAlignment="1" applyProtection="1">
      <alignment vertical="center"/>
      <protection hidden="1"/>
    </xf>
    <xf numFmtId="184" fontId="0" fillId="0" borderId="83" xfId="0" applyNumberFormat="1" applyBorder="1" applyAlignment="1" applyProtection="1">
      <alignment horizontal="center" vertical="center"/>
      <protection hidden="1"/>
    </xf>
    <xf numFmtId="184" fontId="0" fillId="0" borderId="90" xfId="0" applyNumberFormat="1" applyBorder="1" applyAlignment="1" applyProtection="1">
      <alignment horizontal="center" vertical="center"/>
      <protection hidden="1"/>
    </xf>
    <xf numFmtId="0" fontId="0" fillId="0" borderId="86" xfId="0" applyBorder="1" applyAlignment="1" applyProtection="1">
      <alignment horizontal="center" vertical="center"/>
      <protection hidden="1"/>
    </xf>
    <xf numFmtId="0" fontId="0" fillId="0" borderId="2" xfId="0" applyBorder="1" applyAlignment="1" applyProtection="1">
      <alignment vertical="center"/>
      <protection hidden="1"/>
    </xf>
    <xf numFmtId="0" fontId="0" fillId="0" borderId="23" xfId="0"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0" xfId="0" applyProtection="1">
      <protection hidden="1"/>
    </xf>
    <xf numFmtId="44" fontId="0" fillId="0" borderId="0" xfId="0" applyNumberFormat="1" applyProtection="1">
      <protection hidden="1"/>
    </xf>
    <xf numFmtId="0" fontId="11" fillId="0" borderId="0" xfId="0" applyFont="1" applyProtection="1">
      <protection hidden="1"/>
    </xf>
    <xf numFmtId="44" fontId="106" fillId="6" borderId="0" xfId="0" applyNumberFormat="1" applyFont="1" applyFill="1" applyAlignment="1" applyProtection="1">
      <alignment horizontal="center"/>
      <protection hidden="1"/>
    </xf>
    <xf numFmtId="0" fontId="106" fillId="0" borderId="0" xfId="0" applyFont="1" applyProtection="1">
      <protection hidden="1"/>
    </xf>
    <xf numFmtId="0" fontId="77" fillId="6" borderId="0" xfId="0" applyFont="1" applyFill="1" applyProtection="1">
      <protection hidden="1"/>
    </xf>
    <xf numFmtId="0" fontId="79" fillId="6" borderId="0" xfId="0" applyFont="1" applyFill="1" applyProtection="1">
      <protection hidden="1"/>
    </xf>
    <xf numFmtId="0" fontId="80" fillId="6" borderId="0" xfId="0" applyFont="1" applyFill="1" applyProtection="1">
      <protection hidden="1"/>
    </xf>
    <xf numFmtId="0" fontId="80" fillId="0" borderId="0" xfId="0" applyFont="1" applyProtection="1">
      <protection hidden="1"/>
    </xf>
    <xf numFmtId="0" fontId="77" fillId="0" borderId="0" xfId="0" applyFont="1" applyProtection="1">
      <protection hidden="1"/>
    </xf>
    <xf numFmtId="0" fontId="81" fillId="6" borderId="0" xfId="0" applyFont="1" applyFill="1" applyProtection="1">
      <protection hidden="1"/>
    </xf>
    <xf numFmtId="0" fontId="82" fillId="6" borderId="0" xfId="0" applyFont="1" applyFill="1" applyProtection="1">
      <protection hidden="1"/>
    </xf>
    <xf numFmtId="0" fontId="94" fillId="6" borderId="0" xfId="0" applyFont="1" applyFill="1" applyAlignment="1" applyProtection="1">
      <alignment vertical="center"/>
      <protection hidden="1"/>
    </xf>
    <xf numFmtId="0" fontId="95" fillId="6" borderId="0" xfId="0" applyFont="1" applyFill="1" applyAlignment="1" applyProtection="1">
      <alignment vertical="center"/>
      <protection hidden="1"/>
    </xf>
    <xf numFmtId="0" fontId="93" fillId="6" borderId="0" xfId="0" applyFont="1" applyFill="1" applyAlignment="1" applyProtection="1">
      <alignment vertical="center"/>
      <protection hidden="1"/>
    </xf>
    <xf numFmtId="0" fontId="96" fillId="6" borderId="0" xfId="0" applyFont="1" applyFill="1" applyAlignment="1" applyProtection="1">
      <alignment vertical="center"/>
      <protection hidden="1"/>
    </xf>
    <xf numFmtId="0" fontId="99" fillId="6" borderId="0" xfId="0" applyFont="1" applyFill="1" applyAlignment="1" applyProtection="1">
      <alignment vertical="center"/>
      <protection hidden="1"/>
    </xf>
    <xf numFmtId="0" fontId="80" fillId="6" borderId="0" xfId="0" applyFont="1" applyFill="1" applyAlignment="1" applyProtection="1">
      <alignment vertical="center"/>
      <protection hidden="1"/>
    </xf>
    <xf numFmtId="0" fontId="80" fillId="0" borderId="0" xfId="0" applyFont="1" applyAlignment="1" applyProtection="1">
      <alignment vertical="center"/>
      <protection hidden="1"/>
    </xf>
    <xf numFmtId="0" fontId="77" fillId="0" borderId="0" xfId="0" applyFont="1" applyAlignment="1" applyProtection="1">
      <alignment vertical="center"/>
      <protection hidden="1"/>
    </xf>
    <xf numFmtId="0" fontId="95" fillId="6" borderId="0" xfId="0" applyFont="1" applyFill="1" applyProtection="1">
      <protection hidden="1"/>
    </xf>
    <xf numFmtId="0" fontId="93" fillId="6" borderId="0" xfId="0" applyFont="1" applyFill="1" applyProtection="1">
      <protection hidden="1"/>
    </xf>
    <xf numFmtId="0" fontId="94" fillId="6" borderId="0" xfId="0" applyFont="1" applyFill="1" applyProtection="1">
      <protection hidden="1"/>
    </xf>
    <xf numFmtId="0" fontId="96" fillId="6" borderId="0" xfId="0" applyFont="1" applyFill="1" applyProtection="1">
      <protection hidden="1"/>
    </xf>
    <xf numFmtId="0" fontId="99" fillId="6" borderId="0" xfId="0" applyFont="1" applyFill="1" applyProtection="1">
      <protection hidden="1"/>
    </xf>
    <xf numFmtId="0" fontId="97" fillId="6" borderId="0" xfId="0" applyFont="1" applyFill="1" applyProtection="1">
      <protection hidden="1"/>
    </xf>
    <xf numFmtId="170" fontId="97" fillId="6" borderId="0" xfId="0" applyNumberFormat="1" applyFont="1" applyFill="1" applyAlignment="1" applyProtection="1">
      <alignment horizontal="center"/>
      <protection hidden="1"/>
    </xf>
    <xf numFmtId="170" fontId="97" fillId="6" borderId="0" xfId="0" applyNumberFormat="1" applyFont="1" applyFill="1" applyAlignment="1" applyProtection="1">
      <alignment horizontal="center" vertical="center"/>
      <protection hidden="1"/>
    </xf>
    <xf numFmtId="170" fontId="95" fillId="6" borderId="0" xfId="0" applyNumberFormat="1" applyFont="1" applyFill="1" applyAlignment="1" applyProtection="1">
      <alignment horizontal="center"/>
      <protection hidden="1"/>
    </xf>
    <xf numFmtId="0" fontId="100" fillId="6" borderId="0" xfId="0" applyFont="1" applyFill="1" applyProtection="1">
      <protection hidden="1"/>
    </xf>
    <xf numFmtId="0" fontId="99" fillId="6" borderId="0" xfId="0" applyFont="1" applyFill="1" applyAlignment="1" applyProtection="1">
      <alignment horizontal="center" vertical="center"/>
      <protection hidden="1"/>
    </xf>
    <xf numFmtId="0" fontId="98" fillId="6" borderId="0" xfId="0" applyFont="1" applyFill="1" applyProtection="1">
      <protection hidden="1"/>
    </xf>
    <xf numFmtId="0" fontId="97" fillId="6" borderId="0" xfId="0" applyFont="1" applyFill="1" applyAlignment="1" applyProtection="1">
      <alignment horizontal="center"/>
      <protection hidden="1"/>
    </xf>
    <xf numFmtId="164" fontId="94" fillId="6" borderId="0" xfId="1" applyNumberFormat="1" applyFont="1" applyFill="1" applyProtection="1">
      <protection hidden="1"/>
    </xf>
    <xf numFmtId="164" fontId="97" fillId="6" borderId="0" xfId="1" applyNumberFormat="1" applyFont="1" applyFill="1" applyBorder="1" applyProtection="1">
      <protection hidden="1"/>
    </xf>
    <xf numFmtId="164" fontId="94" fillId="6" borderId="0" xfId="0" applyNumberFormat="1" applyFont="1" applyFill="1" applyProtection="1">
      <protection hidden="1"/>
    </xf>
    <xf numFmtId="0" fontId="94" fillId="6" borderId="0" xfId="0" applyFont="1" applyFill="1" applyAlignment="1" applyProtection="1">
      <alignment wrapText="1"/>
      <protection hidden="1"/>
    </xf>
    <xf numFmtId="4" fontId="80" fillId="6" borderId="0" xfId="0" applyNumberFormat="1" applyFont="1" applyFill="1" applyProtection="1">
      <protection hidden="1"/>
    </xf>
    <xf numFmtId="3" fontId="80" fillId="6" borderId="0" xfId="0" applyNumberFormat="1" applyFont="1" applyFill="1" applyProtection="1">
      <protection hidden="1"/>
    </xf>
    <xf numFmtId="164" fontId="97" fillId="6" borderId="0" xfId="1" applyNumberFormat="1" applyFont="1" applyFill="1" applyProtection="1">
      <protection hidden="1"/>
    </xf>
    <xf numFmtId="164" fontId="101" fillId="6" borderId="0" xfId="1" applyNumberFormat="1" applyFont="1" applyFill="1" applyBorder="1" applyProtection="1">
      <protection hidden="1"/>
    </xf>
    <xf numFmtId="164" fontId="94" fillId="0" borderId="0" xfId="1" applyNumberFormat="1" applyFont="1" applyFill="1" applyBorder="1" applyProtection="1">
      <protection hidden="1"/>
    </xf>
    <xf numFmtId="164" fontId="94" fillId="0" borderId="0" xfId="0" applyNumberFormat="1" applyFont="1" applyProtection="1">
      <protection hidden="1"/>
    </xf>
    <xf numFmtId="0" fontId="98" fillId="6" borderId="97" xfId="0" applyFont="1" applyFill="1" applyBorder="1" applyProtection="1">
      <protection hidden="1"/>
    </xf>
    <xf numFmtId="164" fontId="94" fillId="6" borderId="0" xfId="0" applyNumberFormat="1" applyFont="1" applyFill="1" applyAlignment="1" applyProtection="1">
      <alignment horizontal="center" vertical="center"/>
      <protection hidden="1"/>
    </xf>
    <xf numFmtId="164" fontId="94" fillId="0" borderId="0" xfId="0" applyNumberFormat="1" applyFont="1" applyAlignment="1" applyProtection="1">
      <alignment vertical="center"/>
      <protection hidden="1"/>
    </xf>
    <xf numFmtId="181" fontId="80" fillId="6" borderId="0" xfId="0" applyNumberFormat="1" applyFont="1" applyFill="1" applyAlignment="1" applyProtection="1">
      <alignment vertical="center"/>
      <protection hidden="1"/>
    </xf>
    <xf numFmtId="164" fontId="94" fillId="6" borderId="0" xfId="1" applyNumberFormat="1" applyFont="1" applyFill="1" applyAlignment="1" applyProtection="1">
      <alignment vertical="center"/>
      <protection hidden="1"/>
    </xf>
    <xf numFmtId="0" fontId="99" fillId="0" borderId="0" xfId="0" applyFont="1" applyProtection="1">
      <protection hidden="1"/>
    </xf>
    <xf numFmtId="2" fontId="80" fillId="6" borderId="0" xfId="0" applyNumberFormat="1" applyFont="1" applyFill="1" applyAlignment="1" applyProtection="1">
      <alignment vertical="center"/>
      <protection hidden="1"/>
    </xf>
    <xf numFmtId="0" fontId="100" fillId="6" borderId="97" xfId="0" applyFont="1" applyFill="1" applyBorder="1" applyAlignment="1" applyProtection="1">
      <alignment vertical="center"/>
      <protection hidden="1"/>
    </xf>
    <xf numFmtId="0" fontId="95" fillId="0" borderId="0" xfId="0" applyFont="1" applyProtection="1">
      <protection hidden="1"/>
    </xf>
    <xf numFmtId="164" fontId="93" fillId="6" borderId="0" xfId="1" applyNumberFormat="1" applyFont="1" applyFill="1" applyBorder="1" applyProtection="1">
      <protection hidden="1"/>
    </xf>
    <xf numFmtId="0" fontId="99" fillId="6" borderId="0" xfId="0" applyFont="1" applyFill="1" applyAlignment="1" applyProtection="1">
      <alignment vertical="top"/>
      <protection hidden="1"/>
    </xf>
    <xf numFmtId="164" fontId="102" fillId="6" borderId="0" xfId="1" applyNumberFormat="1" applyFont="1" applyFill="1" applyBorder="1" applyProtection="1">
      <protection hidden="1"/>
    </xf>
    <xf numFmtId="164" fontId="100" fillId="6" borderId="0" xfId="1" applyNumberFormat="1" applyFont="1" applyFill="1" applyBorder="1" applyProtection="1">
      <protection hidden="1"/>
    </xf>
    <xf numFmtId="0" fontId="92" fillId="6" borderId="0" xfId="0" applyFont="1" applyFill="1" applyProtection="1">
      <protection hidden="1"/>
    </xf>
    <xf numFmtId="0" fontId="100" fillId="6" borderId="0" xfId="0" applyFont="1" applyFill="1" applyAlignment="1" applyProtection="1">
      <alignment vertical="center"/>
      <protection hidden="1"/>
    </xf>
    <xf numFmtId="0" fontId="92" fillId="6" borderId="0" xfId="0" applyFont="1" applyFill="1" applyAlignment="1" applyProtection="1">
      <alignment wrapText="1"/>
      <protection hidden="1"/>
    </xf>
    <xf numFmtId="169" fontId="97" fillId="6" borderId="0" xfId="1" applyNumberFormat="1" applyFont="1" applyFill="1" applyBorder="1" applyProtection="1">
      <protection hidden="1"/>
    </xf>
    <xf numFmtId="169" fontId="92" fillId="6" borderId="0" xfId="1" applyNumberFormat="1" applyFont="1" applyFill="1" applyBorder="1" applyProtection="1">
      <protection hidden="1"/>
    </xf>
    <xf numFmtId="180" fontId="97" fillId="6" borderId="0" xfId="0" applyNumberFormat="1" applyFont="1" applyFill="1" applyProtection="1">
      <protection hidden="1"/>
    </xf>
    <xf numFmtId="9" fontId="97" fillId="6" borderId="0" xfId="2" applyFont="1" applyFill="1" applyBorder="1" applyProtection="1">
      <protection hidden="1"/>
    </xf>
    <xf numFmtId="180" fontId="97" fillId="6" borderId="0" xfId="2" applyNumberFormat="1" applyFont="1" applyFill="1" applyBorder="1" applyProtection="1">
      <protection hidden="1"/>
    </xf>
    <xf numFmtId="169" fontId="99" fillId="6" borderId="0" xfId="1" applyNumberFormat="1" applyFont="1" applyFill="1" applyBorder="1" applyProtection="1">
      <protection hidden="1"/>
    </xf>
    <xf numFmtId="0" fontId="77" fillId="0" borderId="0" xfId="0" applyFont="1" applyAlignment="1" applyProtection="1">
      <alignment horizontal="center" vertical="center"/>
      <protection hidden="1"/>
    </xf>
    <xf numFmtId="0" fontId="80" fillId="6" borderId="0" xfId="0" applyFont="1" applyFill="1" applyAlignment="1" applyProtection="1">
      <alignment horizontal="center" vertical="center"/>
      <protection hidden="1"/>
    </xf>
    <xf numFmtId="0" fontId="80" fillId="0" borderId="0" xfId="0" applyFont="1" applyAlignment="1" applyProtection="1">
      <alignment wrapText="1"/>
      <protection hidden="1"/>
    </xf>
    <xf numFmtId="0" fontId="80" fillId="13" borderId="0" xfId="0" applyFont="1" applyFill="1" applyProtection="1">
      <protection hidden="1"/>
    </xf>
    <xf numFmtId="4" fontId="85" fillId="0" borderId="0" xfId="0" applyNumberFormat="1" applyFont="1" applyAlignment="1">
      <alignment horizontal="center"/>
    </xf>
    <xf numFmtId="4" fontId="0" fillId="0" borderId="0" xfId="0" applyNumberFormat="1" applyAlignment="1">
      <alignment horizontal="center"/>
    </xf>
    <xf numFmtId="0" fontId="118" fillId="0" borderId="0" xfId="0" applyFont="1" applyAlignment="1" applyProtection="1">
      <alignment wrapText="1"/>
      <protection hidden="1"/>
    </xf>
    <xf numFmtId="0" fontId="88" fillId="6" borderId="0" xfId="0" applyFont="1" applyFill="1" applyAlignment="1" applyProtection="1">
      <alignment horizontal="right" vertical="center"/>
      <protection hidden="1"/>
    </xf>
    <xf numFmtId="0" fontId="82" fillId="6" borderId="0" xfId="0" applyFont="1" applyFill="1" applyAlignment="1" applyProtection="1">
      <alignment vertical="center"/>
      <protection hidden="1"/>
    </xf>
    <xf numFmtId="0" fontId="119" fillId="0" borderId="0" xfId="0" applyFont="1" applyAlignment="1" applyProtection="1">
      <alignment horizontal="right" vertical="center"/>
      <protection hidden="1"/>
    </xf>
    <xf numFmtId="0" fontId="94" fillId="6" borderId="27" xfId="0" applyFont="1" applyFill="1" applyBorder="1" applyAlignment="1" applyProtection="1">
      <alignment vertical="center"/>
      <protection hidden="1"/>
    </xf>
    <xf numFmtId="0" fontId="80" fillId="0" borderId="27" xfId="0" applyFont="1" applyBorder="1" applyAlignment="1" applyProtection="1">
      <alignment vertical="center"/>
      <protection hidden="1"/>
    </xf>
    <xf numFmtId="0" fontId="118" fillId="0" borderId="0" xfId="0" applyFont="1" applyAlignment="1" applyProtection="1">
      <alignment vertical="center"/>
      <protection hidden="1"/>
    </xf>
    <xf numFmtId="0" fontId="88" fillId="6" borderId="0" xfId="0" applyFont="1" applyFill="1" applyAlignment="1" applyProtection="1">
      <alignment horizontal="right" vertical="top" wrapText="1"/>
      <protection hidden="1"/>
    </xf>
    <xf numFmtId="0" fontId="88" fillId="6" borderId="0" xfId="0" applyFont="1" applyFill="1" applyAlignment="1" applyProtection="1">
      <alignment horizontal="right"/>
      <protection hidden="1"/>
    </xf>
    <xf numFmtId="0" fontId="118" fillId="6" borderId="0" xfId="0" applyFont="1" applyFill="1" applyAlignment="1" applyProtection="1">
      <alignment horizontal="right"/>
      <protection hidden="1"/>
    </xf>
    <xf numFmtId="0" fontId="119" fillId="0" borderId="0" xfId="0" applyFont="1" applyAlignment="1" applyProtection="1">
      <alignment horizontal="right"/>
      <protection hidden="1"/>
    </xf>
    <xf numFmtId="0" fontId="80" fillId="0" borderId="27" xfId="0" applyFont="1" applyBorder="1" applyProtection="1">
      <protection hidden="1"/>
    </xf>
    <xf numFmtId="0" fontId="88" fillId="6" borderId="0" xfId="0" applyFont="1" applyFill="1" applyProtection="1">
      <protection hidden="1"/>
    </xf>
    <xf numFmtId="0" fontId="118" fillId="6" borderId="0" xfId="0" applyFont="1" applyFill="1" applyProtection="1">
      <protection hidden="1"/>
    </xf>
    <xf numFmtId="0" fontId="119" fillId="0" borderId="0" xfId="0" applyFont="1" applyProtection="1">
      <protection hidden="1"/>
    </xf>
    <xf numFmtId="0" fontId="88" fillId="0" borderId="0" xfId="0" applyFont="1" applyAlignment="1" applyProtection="1">
      <alignment horizontal="right"/>
      <protection hidden="1"/>
    </xf>
    <xf numFmtId="0" fontId="94" fillId="0" borderId="0" xfId="0" applyFont="1" applyProtection="1">
      <protection hidden="1"/>
    </xf>
    <xf numFmtId="0" fontId="107" fillId="0" borderId="0" xfId="0" applyFont="1" applyAlignment="1" applyProtection="1">
      <alignment horizontal="right"/>
      <protection hidden="1"/>
    </xf>
    <xf numFmtId="0" fontId="94" fillId="0" borderId="0" xfId="0" applyFont="1" applyAlignment="1" applyProtection="1">
      <alignment horizontal="center"/>
      <protection hidden="1"/>
    </xf>
    <xf numFmtId="184" fontId="84" fillId="6" borderId="0" xfId="0" applyNumberFormat="1" applyFont="1" applyFill="1" applyAlignment="1" applyProtection="1">
      <alignment horizontal="center" vertical="center" wrapText="1"/>
      <protection hidden="1"/>
    </xf>
    <xf numFmtId="183" fontId="84" fillId="6" borderId="0" xfId="0" applyNumberFormat="1" applyFont="1" applyFill="1" applyAlignment="1" applyProtection="1">
      <alignment wrapText="1"/>
      <protection hidden="1"/>
    </xf>
    <xf numFmtId="0" fontId="117" fillId="6" borderId="0" xfId="0" applyFont="1" applyFill="1" applyAlignment="1" applyProtection="1">
      <alignment horizontal="center" vertical="center"/>
      <protection hidden="1"/>
    </xf>
    <xf numFmtId="0" fontId="118" fillId="0" borderId="0" xfId="0" applyFont="1" applyProtection="1">
      <protection hidden="1"/>
    </xf>
    <xf numFmtId="0" fontId="88" fillId="0" borderId="0" xfId="0" applyFont="1" applyProtection="1">
      <protection hidden="1"/>
    </xf>
    <xf numFmtId="0" fontId="121" fillId="6" borderId="0" xfId="0" applyFont="1" applyFill="1" applyProtection="1">
      <protection hidden="1"/>
    </xf>
    <xf numFmtId="0" fontId="118" fillId="0" borderId="0" xfId="0" applyFont="1" applyAlignment="1" applyProtection="1">
      <alignment horizontal="right"/>
      <protection hidden="1"/>
    </xf>
    <xf numFmtId="0" fontId="82" fillId="0" borderId="0" xfId="0" applyFont="1" applyAlignment="1" applyProtection="1">
      <alignment horizontal="center"/>
      <protection hidden="1"/>
    </xf>
    <xf numFmtId="0" fontId="82" fillId="0" borderId="0" xfId="0" applyFont="1" applyProtection="1">
      <protection hidden="1"/>
    </xf>
    <xf numFmtId="0" fontId="80" fillId="0" borderId="0" xfId="0" applyFont="1" applyAlignment="1" applyProtection="1">
      <alignment horizontal="right"/>
      <protection hidden="1"/>
    </xf>
    <xf numFmtId="0" fontId="108" fillId="0" borderId="0" xfId="0" applyFont="1" applyAlignment="1">
      <alignment horizontal="center" vertical="center"/>
    </xf>
    <xf numFmtId="0" fontId="0" fillId="0" borderId="4" xfId="0" applyBorder="1" applyAlignment="1" applyProtection="1">
      <alignment vertical="center"/>
      <protection locked="0" hidden="1"/>
    </xf>
    <xf numFmtId="0" fontId="0" fillId="0" borderId="29" xfId="0" applyBorder="1" applyAlignment="1" applyProtection="1">
      <alignment vertical="center"/>
      <protection locked="0" hidden="1"/>
    </xf>
    <xf numFmtId="184" fontId="0" fillId="0" borderId="94" xfId="0" applyNumberFormat="1" applyBorder="1" applyAlignment="1" applyProtection="1">
      <alignment horizontal="center" vertical="center"/>
      <protection locked="0" hidden="1"/>
    </xf>
    <xf numFmtId="184" fontId="0" fillId="0" borderId="31" xfId="0" applyNumberFormat="1" applyBorder="1" applyAlignment="1" applyProtection="1">
      <alignment horizontal="center" vertical="center"/>
      <protection locked="0" hidden="1"/>
    </xf>
    <xf numFmtId="184" fontId="11" fillId="18" borderId="80" xfId="0" applyNumberFormat="1" applyFont="1" applyFill="1" applyBorder="1" applyAlignment="1" applyProtection="1">
      <alignment horizontal="center" vertical="center"/>
      <protection locked="0" hidden="1"/>
    </xf>
    <xf numFmtId="184" fontId="0" fillId="0" borderId="83" xfId="0" applyNumberFormat="1" applyBorder="1" applyAlignment="1" applyProtection="1">
      <alignment horizontal="center" vertical="center"/>
      <protection locked="0" hidden="1"/>
    </xf>
    <xf numFmtId="184" fontId="0" fillId="0" borderId="90" xfId="0" applyNumberFormat="1" applyBorder="1" applyAlignment="1" applyProtection="1">
      <alignment horizontal="center" vertical="center"/>
      <protection locked="0" hidden="1"/>
    </xf>
    <xf numFmtId="184" fontId="0" fillId="0" borderId="91" xfId="0" applyNumberFormat="1" applyBorder="1" applyAlignment="1" applyProtection="1">
      <alignment horizontal="center" vertical="center"/>
      <protection locked="0" hidden="1"/>
    </xf>
    <xf numFmtId="184" fontId="0" fillId="0" borderId="92" xfId="0" applyNumberFormat="1" applyBorder="1" applyAlignment="1" applyProtection="1">
      <alignment horizontal="center" vertical="center"/>
      <protection locked="0" hidden="1"/>
    </xf>
    <xf numFmtId="184" fontId="0" fillId="0" borderId="93" xfId="0" applyNumberFormat="1" applyBorder="1" applyAlignment="1" applyProtection="1">
      <alignment horizontal="center" vertical="center"/>
      <protection locked="0" hidden="1"/>
    </xf>
    <xf numFmtId="17" fontId="90" fillId="18" borderId="11" xfId="0" applyNumberFormat="1" applyFont="1" applyFill="1" applyBorder="1" applyAlignment="1" applyProtection="1">
      <alignment horizontal="center" vertical="center"/>
      <protection locked="0" hidden="1"/>
    </xf>
    <xf numFmtId="173" fontId="0" fillId="0" borderId="0" xfId="0" applyNumberFormat="1" applyAlignment="1">
      <alignment horizontal="center"/>
    </xf>
    <xf numFmtId="186" fontId="0" fillId="0" borderId="0" xfId="0" applyNumberFormat="1" applyAlignment="1">
      <alignment horizontal="center"/>
    </xf>
    <xf numFmtId="0" fontId="0" fillId="0" borderId="97" xfId="0" applyBorder="1" applyAlignment="1" applyProtection="1">
      <alignment horizontal="center"/>
      <protection locked="0" hidden="1"/>
    </xf>
    <xf numFmtId="0" fontId="0" fillId="0" borderId="97" xfId="0" applyBorder="1" applyProtection="1">
      <protection locked="0"/>
    </xf>
    <xf numFmtId="44" fontId="0" fillId="0" borderId="97" xfId="11" applyFont="1" applyFill="1" applyBorder="1" applyAlignment="1" applyProtection="1">
      <alignment horizontal="center"/>
      <protection locked="0" hidden="1"/>
    </xf>
    <xf numFmtId="44" fontId="0" fillId="18" borderId="97" xfId="11" applyFont="1" applyFill="1" applyBorder="1" applyAlignment="1" applyProtection="1">
      <alignment horizontal="center"/>
      <protection hidden="1"/>
    </xf>
    <xf numFmtId="44" fontId="0" fillId="0" borderId="97" xfId="11" applyFont="1" applyBorder="1" applyAlignment="1" applyProtection="1">
      <alignment horizontal="center"/>
      <protection locked="0" hidden="1"/>
    </xf>
    <xf numFmtId="0" fontId="51" fillId="23" borderId="97" xfId="0" applyFont="1" applyFill="1" applyBorder="1" applyAlignment="1" applyProtection="1">
      <alignment horizontal="center"/>
      <protection hidden="1"/>
    </xf>
    <xf numFmtId="183" fontId="0" fillId="0" borderId="97" xfId="11" applyNumberFormat="1" applyFont="1" applyFill="1" applyBorder="1" applyProtection="1">
      <protection locked="0"/>
    </xf>
    <xf numFmtId="183" fontId="0" fillId="0" borderId="97" xfId="11" applyNumberFormat="1" applyFont="1" applyFill="1" applyBorder="1" applyAlignment="1" applyProtection="1">
      <alignment horizontal="center"/>
      <protection locked="0" hidden="1"/>
    </xf>
    <xf numFmtId="183" fontId="0" fillId="0" borderId="97" xfId="11" applyNumberFormat="1" applyFont="1" applyBorder="1" applyAlignment="1" applyProtection="1">
      <alignment horizontal="center"/>
      <protection locked="0" hidden="1"/>
    </xf>
    <xf numFmtId="0" fontId="11" fillId="0" borderId="97" xfId="0" applyFont="1" applyBorder="1" applyProtection="1">
      <protection hidden="1"/>
    </xf>
    <xf numFmtId="44" fontId="11" fillId="0" borderId="97" xfId="11" applyFont="1" applyBorder="1" applyProtection="1">
      <protection hidden="1"/>
    </xf>
    <xf numFmtId="0" fontId="124" fillId="0" borderId="0" xfId="0" applyFont="1" applyProtection="1">
      <protection hidden="1"/>
    </xf>
    <xf numFmtId="0" fontId="125" fillId="0" borderId="0" xfId="0" applyFont="1" applyProtection="1">
      <protection hidden="1"/>
    </xf>
    <xf numFmtId="0" fontId="126" fillId="0" borderId="0" xfId="0" applyFont="1" applyProtection="1">
      <protection hidden="1"/>
    </xf>
    <xf numFmtId="0" fontId="126" fillId="23" borderId="97" xfId="0" applyFont="1" applyFill="1" applyBorder="1" applyAlignment="1" applyProtection="1">
      <alignment horizontal="center" vertical="center"/>
      <protection hidden="1"/>
    </xf>
    <xf numFmtId="0" fontId="126" fillId="23" borderId="97" xfId="0" applyFont="1" applyFill="1" applyBorder="1" applyAlignment="1" applyProtection="1">
      <alignment horizontal="center" vertical="center"/>
      <protection locked="0" hidden="1"/>
    </xf>
    <xf numFmtId="5" fontId="0" fillId="0" borderId="97" xfId="11" applyNumberFormat="1" applyFont="1" applyFill="1" applyBorder="1" applyAlignment="1" applyProtection="1">
      <alignment horizontal="center"/>
      <protection locked="0" hidden="1"/>
    </xf>
    <xf numFmtId="5" fontId="0" fillId="5" borderId="97" xfId="11" applyNumberFormat="1" applyFont="1" applyFill="1" applyBorder="1" applyAlignment="1" applyProtection="1">
      <alignment horizontal="center"/>
      <protection locked="0" hidden="1"/>
    </xf>
    <xf numFmtId="44" fontId="123" fillId="0" borderId="97" xfId="11" applyFont="1" applyFill="1" applyBorder="1" applyAlignment="1" applyProtection="1">
      <alignment horizontal="left"/>
      <protection locked="0" hidden="1"/>
    </xf>
    <xf numFmtId="44" fontId="0" fillId="19" borderId="97" xfId="11" applyFont="1" applyFill="1" applyBorder="1" applyProtection="1">
      <protection hidden="1"/>
    </xf>
    <xf numFmtId="44" fontId="0" fillId="18" borderId="97" xfId="11" applyFont="1" applyFill="1" applyBorder="1" applyProtection="1">
      <protection hidden="1"/>
    </xf>
    <xf numFmtId="0" fontId="0" fillId="18" borderId="97" xfId="11" applyNumberFormat="1" applyFont="1" applyFill="1" applyBorder="1" applyAlignment="1" applyProtection="1">
      <alignment horizontal="center"/>
      <protection hidden="1"/>
    </xf>
    <xf numFmtId="0" fontId="0" fillId="0" borderId="97" xfId="0" applyBorder="1" applyProtection="1">
      <protection locked="0" hidden="1"/>
    </xf>
    <xf numFmtId="44" fontId="123" fillId="0" borderId="97" xfId="11" applyFont="1" applyFill="1" applyBorder="1" applyAlignment="1" applyProtection="1">
      <alignment horizontal="center"/>
      <protection locked="0" hidden="1"/>
    </xf>
    <xf numFmtId="44" fontId="0" fillId="0" borderId="97" xfId="11" applyFont="1" applyFill="1" applyBorder="1" applyAlignment="1" applyProtection="1">
      <protection hidden="1"/>
    </xf>
    <xf numFmtId="44" fontId="0" fillId="19" borderId="97" xfId="11" applyFont="1" applyFill="1" applyBorder="1" applyAlignment="1" applyProtection="1">
      <protection hidden="1"/>
    </xf>
    <xf numFmtId="44" fontId="0" fillId="0" borderId="0" xfId="11" applyFont="1" applyFill="1" applyBorder="1" applyProtection="1">
      <protection hidden="1"/>
    </xf>
    <xf numFmtId="44" fontId="0" fillId="0" borderId="0" xfId="11" applyFont="1" applyFill="1" applyBorder="1" applyAlignment="1" applyProtection="1">
      <protection hidden="1"/>
    </xf>
    <xf numFmtId="0" fontId="11" fillId="0" borderId="97" xfId="0" applyFont="1" applyBorder="1" applyProtection="1">
      <protection locked="0" hidden="1"/>
    </xf>
    <xf numFmtId="6" fontId="0" fillId="0" borderId="97" xfId="11" applyNumberFormat="1" applyFont="1" applyFill="1" applyBorder="1" applyAlignment="1" applyProtection="1">
      <alignment horizontal="center"/>
      <protection locked="0" hidden="1"/>
    </xf>
    <xf numFmtId="44" fontId="0" fillId="5" borderId="97" xfId="11" applyFont="1" applyFill="1" applyBorder="1" applyAlignment="1" applyProtection="1">
      <alignment horizontal="center"/>
      <protection locked="0" hidden="1"/>
    </xf>
    <xf numFmtId="44" fontId="50" fillId="19" borderId="97" xfId="11" applyFont="1" applyFill="1" applyBorder="1" applyProtection="1">
      <protection hidden="1"/>
    </xf>
    <xf numFmtId="0" fontId="11" fillId="18" borderId="97" xfId="0" applyFont="1" applyFill="1" applyBorder="1" applyProtection="1">
      <protection hidden="1"/>
    </xf>
    <xf numFmtId="0" fontId="0" fillId="18" borderId="97" xfId="0" applyFill="1" applyBorder="1" applyProtection="1">
      <protection hidden="1"/>
    </xf>
    <xf numFmtId="44" fontId="126" fillId="23" borderId="97" xfId="0" applyNumberFormat="1" applyFont="1" applyFill="1" applyBorder="1" applyAlignment="1" applyProtection="1">
      <alignment horizontal="center" vertical="center"/>
      <protection hidden="1"/>
    </xf>
    <xf numFmtId="7" fontId="115" fillId="6" borderId="97" xfId="0" applyNumberFormat="1" applyFont="1" applyFill="1" applyBorder="1" applyAlignment="1" applyProtection="1">
      <alignment horizontal="center"/>
      <protection hidden="1"/>
    </xf>
    <xf numFmtId="7" fontId="0" fillId="18" borderId="97" xfId="11" applyNumberFormat="1" applyFont="1" applyFill="1" applyBorder="1" applyAlignment="1" applyProtection="1">
      <alignment horizontal="center"/>
      <protection hidden="1"/>
    </xf>
    <xf numFmtId="9" fontId="0" fillId="0" borderId="0" xfId="0" applyNumberFormat="1" applyAlignment="1">
      <alignment horizontal="center" vertical="center"/>
    </xf>
    <xf numFmtId="2" fontId="12" fillId="0" borderId="3" xfId="2" applyNumberFormat="1" applyFont="1" applyBorder="1" applyAlignment="1">
      <alignment horizontal="center" vertical="center"/>
    </xf>
    <xf numFmtId="2" fontId="12" fillId="3" borderId="0" xfId="2" applyNumberFormat="1" applyFont="1" applyFill="1" applyBorder="1" applyAlignment="1">
      <alignment horizontal="center" vertical="center"/>
    </xf>
    <xf numFmtId="2" fontId="0" fillId="0" borderId="0" xfId="0" applyNumberFormat="1" applyAlignment="1">
      <alignment horizontal="center" vertical="center"/>
    </xf>
    <xf numFmtId="0" fontId="0" fillId="0" borderId="0" xfId="0" applyAlignment="1">
      <alignment horizontal="center" vertical="center"/>
    </xf>
    <xf numFmtId="0" fontId="0" fillId="0" borderId="112" xfId="0" applyBorder="1" applyAlignment="1">
      <alignment horizontal="center" vertical="center"/>
    </xf>
    <xf numFmtId="0" fontId="95" fillId="0" borderId="0" xfId="0" applyFont="1" applyAlignment="1" applyProtection="1">
      <alignment vertical="center"/>
      <protection hidden="1"/>
    </xf>
    <xf numFmtId="0" fontId="80" fillId="18" borderId="0" xfId="0" applyFont="1" applyFill="1" applyProtection="1">
      <protection hidden="1"/>
    </xf>
    <xf numFmtId="0" fontId="80" fillId="18" borderId="0" xfId="0" applyFont="1" applyFill="1" applyAlignment="1" applyProtection="1">
      <alignment wrapText="1"/>
      <protection hidden="1"/>
    </xf>
    <xf numFmtId="184" fontId="80" fillId="18" borderId="0" xfId="0" applyNumberFormat="1" applyFont="1" applyFill="1" applyProtection="1">
      <protection hidden="1"/>
    </xf>
    <xf numFmtId="0" fontId="82" fillId="18" borderId="0" xfId="0" applyFont="1" applyFill="1" applyProtection="1">
      <protection hidden="1"/>
    </xf>
    <xf numFmtId="184" fontId="82" fillId="18" borderId="0" xfId="0" applyNumberFormat="1" applyFont="1" applyFill="1" applyProtection="1">
      <protection hidden="1"/>
    </xf>
    <xf numFmtId="4" fontId="82" fillId="18" borderId="0" xfId="0" applyNumberFormat="1" applyFont="1" applyFill="1" applyProtection="1">
      <protection hidden="1"/>
    </xf>
    <xf numFmtId="0" fontId="77" fillId="18" borderId="0" xfId="0" applyFont="1" applyFill="1" applyProtection="1">
      <protection hidden="1"/>
    </xf>
    <xf numFmtId="8" fontId="82" fillId="18" borderId="0" xfId="0" applyNumberFormat="1" applyFont="1" applyFill="1" applyProtection="1">
      <protection hidden="1"/>
    </xf>
    <xf numFmtId="0" fontId="105" fillId="6" borderId="0" xfId="0" applyFont="1" applyFill="1" applyAlignment="1" applyProtection="1">
      <alignment horizontal="center"/>
      <protection hidden="1"/>
    </xf>
    <xf numFmtId="0" fontId="95" fillId="6" borderId="97" xfId="0" applyFont="1" applyFill="1" applyBorder="1" applyProtection="1">
      <protection hidden="1"/>
    </xf>
    <xf numFmtId="0" fontId="100" fillId="6" borderId="97" xfId="0" applyFont="1" applyFill="1" applyBorder="1" applyProtection="1">
      <protection hidden="1"/>
    </xf>
    <xf numFmtId="0" fontId="100" fillId="18" borderId="97" xfId="0" applyFont="1" applyFill="1" applyBorder="1" applyAlignment="1" applyProtection="1">
      <alignment vertical="center"/>
      <protection hidden="1"/>
    </xf>
    <xf numFmtId="0" fontId="100" fillId="18" borderId="97" xfId="0" applyFont="1" applyFill="1" applyBorder="1" applyProtection="1">
      <protection hidden="1"/>
    </xf>
    <xf numFmtId="0" fontId="100" fillId="18" borderId="0" xfId="0" applyFont="1" applyFill="1" applyProtection="1">
      <protection hidden="1"/>
    </xf>
    <xf numFmtId="0" fontId="93" fillId="0" borderId="0" xfId="0" applyFont="1" applyProtection="1">
      <protection hidden="1"/>
    </xf>
    <xf numFmtId="1" fontId="77" fillId="6" borderId="0" xfId="0" applyNumberFormat="1" applyFont="1" applyFill="1" applyAlignment="1" applyProtection="1">
      <alignment vertical="center"/>
      <protection hidden="1"/>
    </xf>
    <xf numFmtId="0" fontId="83" fillId="6" borderId="97" xfId="0" applyFont="1" applyFill="1" applyBorder="1" applyAlignment="1" applyProtection="1">
      <alignment horizontal="center"/>
      <protection hidden="1"/>
    </xf>
    <xf numFmtId="37" fontId="92" fillId="18" borderId="98" xfId="1" applyNumberFormat="1" applyFont="1" applyFill="1" applyBorder="1" applyAlignment="1" applyProtection="1">
      <alignment horizontal="center"/>
      <protection hidden="1"/>
    </xf>
    <xf numFmtId="185" fontId="99" fillId="13" borderId="98" xfId="1" applyNumberFormat="1" applyFont="1" applyFill="1" applyBorder="1" applyAlignment="1" applyProtection="1">
      <alignment horizontal="center" vertical="center"/>
      <protection hidden="1"/>
    </xf>
    <xf numFmtId="169" fontId="96" fillId="6" borderId="0" xfId="1" applyNumberFormat="1" applyFont="1" applyFill="1" applyBorder="1" applyProtection="1">
      <protection hidden="1"/>
    </xf>
    <xf numFmtId="0" fontId="103" fillId="6" borderId="0" xfId="0" applyFont="1" applyFill="1" applyProtection="1">
      <protection hidden="1"/>
    </xf>
    <xf numFmtId="180" fontId="97" fillId="18" borderId="0" xfId="0" applyNumberFormat="1" applyFont="1" applyFill="1" applyProtection="1">
      <protection hidden="1"/>
    </xf>
    <xf numFmtId="9" fontId="97" fillId="18" borderId="0" xfId="2" applyFont="1" applyFill="1" applyBorder="1" applyAlignment="1" applyProtection="1">
      <alignment horizontal="center"/>
      <protection hidden="1"/>
    </xf>
    <xf numFmtId="180" fontId="97" fillId="18" borderId="0" xfId="0" applyNumberFormat="1" applyFont="1" applyFill="1" applyAlignment="1" applyProtection="1">
      <alignment horizontal="right"/>
      <protection hidden="1"/>
    </xf>
    <xf numFmtId="0" fontId="92" fillId="18" borderId="0" xfId="0" applyFont="1" applyFill="1" applyProtection="1">
      <protection hidden="1"/>
    </xf>
    <xf numFmtId="182" fontId="97" fillId="18" borderId="0" xfId="0" applyNumberFormat="1" applyFont="1" applyFill="1" applyProtection="1">
      <protection hidden="1"/>
    </xf>
    <xf numFmtId="184" fontId="66" fillId="0" borderId="97" xfId="0" applyNumberFormat="1" applyFont="1" applyBorder="1" applyAlignment="1" applyProtection="1">
      <alignment horizontal="center"/>
      <protection locked="0"/>
    </xf>
    <xf numFmtId="0" fontId="66" fillId="0" borderId="97" xfId="0" applyFont="1" applyBorder="1" applyAlignment="1" applyProtection="1">
      <alignment horizontal="center"/>
      <protection locked="0"/>
    </xf>
    <xf numFmtId="2" fontId="66" fillId="0" borderId="97" xfId="0" applyNumberFormat="1" applyFont="1" applyBorder="1" applyAlignment="1" applyProtection="1">
      <alignment horizontal="center"/>
      <protection locked="0"/>
    </xf>
    <xf numFmtId="2" fontId="66" fillId="0" borderId="97" xfId="0" applyNumberFormat="1" applyFont="1" applyBorder="1" applyAlignment="1" applyProtection="1">
      <alignment horizontal="center"/>
      <protection hidden="1"/>
    </xf>
    <xf numFmtId="184" fontId="70" fillId="18" borderId="97" xfId="0" applyNumberFormat="1" applyFont="1" applyFill="1" applyBorder="1" applyAlignment="1" applyProtection="1">
      <alignment horizontal="center"/>
      <protection hidden="1"/>
    </xf>
    <xf numFmtId="0" fontId="81" fillId="0" borderId="117" xfId="0" applyFont="1" applyBorder="1" applyAlignment="1" applyProtection="1">
      <alignment horizontal="center"/>
      <protection hidden="1"/>
    </xf>
    <xf numFmtId="0" fontId="11" fillId="0" borderId="85" xfId="0" applyFont="1" applyBorder="1" applyAlignment="1" applyProtection="1">
      <alignment horizontal="center" vertical="center"/>
      <protection hidden="1"/>
    </xf>
    <xf numFmtId="0" fontId="70" fillId="6" borderId="0" xfId="0" applyFont="1" applyFill="1" applyAlignment="1" applyProtection="1">
      <alignment horizontal="center"/>
      <protection hidden="1"/>
    </xf>
    <xf numFmtId="184" fontId="70" fillId="6" borderId="0" xfId="0" applyNumberFormat="1" applyFont="1" applyFill="1" applyAlignment="1" applyProtection="1">
      <alignment horizontal="center"/>
      <protection hidden="1"/>
    </xf>
    <xf numFmtId="14" fontId="0" fillId="0" borderId="0" xfId="0" applyNumberFormat="1" applyProtection="1">
      <protection locked="0"/>
    </xf>
    <xf numFmtId="7" fontId="0" fillId="0" borderId="21" xfId="11" applyNumberFormat="1" applyFont="1" applyFill="1" applyBorder="1" applyAlignment="1" applyProtection="1">
      <alignment horizontal="center" vertical="center"/>
      <protection locked="0"/>
    </xf>
    <xf numFmtId="7" fontId="0" fillId="0" borderId="85" xfId="11" applyNumberFormat="1" applyFont="1" applyFill="1" applyBorder="1" applyAlignment="1" applyProtection="1">
      <alignment horizontal="center" vertical="center"/>
      <protection locked="0"/>
    </xf>
    <xf numFmtId="7" fontId="0" fillId="0" borderId="22" xfId="11" applyNumberFormat="1" applyFont="1" applyFill="1" applyBorder="1" applyAlignment="1" applyProtection="1">
      <alignment horizontal="center" vertical="center"/>
      <protection locked="0"/>
    </xf>
    <xf numFmtId="9" fontId="0" fillId="0" borderId="94" xfId="11" applyNumberFormat="1" applyFont="1" applyFill="1" applyBorder="1" applyAlignment="1" applyProtection="1">
      <alignment horizontal="center" vertical="center"/>
      <protection locked="0"/>
    </xf>
    <xf numFmtId="7" fontId="0" fillId="0" borderId="19" xfId="11" applyNumberFormat="1" applyFont="1" applyFill="1" applyBorder="1" applyAlignment="1" applyProtection="1">
      <alignment horizontal="center" vertical="center"/>
      <protection locked="0"/>
    </xf>
    <xf numFmtId="7" fontId="0" fillId="0" borderId="82" xfId="11" applyNumberFormat="1" applyFont="1" applyFill="1" applyBorder="1" applyAlignment="1" applyProtection="1">
      <alignment horizontal="center" vertical="center"/>
      <protection locked="0"/>
    </xf>
    <xf numFmtId="7" fontId="0" fillId="0" borderId="20" xfId="11" applyNumberFormat="1" applyFont="1" applyFill="1" applyBorder="1" applyAlignment="1" applyProtection="1">
      <alignment horizontal="center" vertical="center"/>
      <protection locked="0"/>
    </xf>
    <xf numFmtId="9" fontId="0" fillId="0" borderId="31" xfId="11" applyNumberFormat="1" applyFont="1" applyFill="1" applyBorder="1" applyAlignment="1" applyProtection="1">
      <alignment horizontal="center" vertical="center"/>
      <protection locked="0"/>
    </xf>
    <xf numFmtId="7" fontId="0" fillId="0" borderId="23" xfId="11" applyNumberFormat="1" applyFont="1" applyFill="1" applyBorder="1" applyAlignment="1" applyProtection="1">
      <alignment horizontal="center" vertical="center"/>
      <protection locked="0"/>
    </xf>
    <xf numFmtId="7" fontId="0" fillId="0" borderId="8" xfId="11" applyNumberFormat="1" applyFont="1" applyFill="1" applyBorder="1" applyAlignment="1" applyProtection="1">
      <alignment horizontal="center" vertical="center"/>
      <protection locked="0"/>
    </xf>
    <xf numFmtId="7" fontId="0" fillId="0" borderId="24" xfId="11" applyNumberFormat="1" applyFont="1" applyFill="1" applyBorder="1" applyAlignment="1" applyProtection="1">
      <alignment horizontal="center" vertical="center"/>
      <protection locked="0"/>
    </xf>
    <xf numFmtId="9" fontId="0" fillId="0" borderId="32" xfId="11" applyNumberFormat="1" applyFont="1" applyFill="1" applyBorder="1" applyAlignment="1" applyProtection="1">
      <alignment horizontal="center" vertical="center"/>
      <protection locked="0"/>
    </xf>
    <xf numFmtId="7" fontId="0" fillId="0" borderId="81" xfId="11" applyNumberFormat="1" applyFont="1" applyFill="1" applyBorder="1" applyAlignment="1" applyProtection="1">
      <alignment horizontal="center" vertical="center"/>
      <protection locked="0"/>
    </xf>
    <xf numFmtId="7" fontId="0" fillId="0" borderId="7" xfId="11" applyNumberFormat="1" applyFont="1" applyFill="1" applyBorder="1" applyAlignment="1" applyProtection="1">
      <alignment horizontal="center" vertical="center"/>
      <protection locked="0"/>
    </xf>
    <xf numFmtId="7" fontId="0" fillId="0" borderId="84" xfId="11" applyNumberFormat="1" applyFont="1" applyFill="1" applyBorder="1" applyAlignment="1" applyProtection="1">
      <alignment horizontal="center" vertical="center"/>
      <protection locked="0"/>
    </xf>
    <xf numFmtId="9" fontId="0" fillId="0" borderId="95" xfId="11" applyNumberFormat="1" applyFont="1" applyFill="1" applyBorder="1" applyAlignment="1" applyProtection="1">
      <alignment horizontal="center" vertical="center"/>
      <protection locked="0"/>
    </xf>
    <xf numFmtId="1" fontId="0" fillId="0" borderId="94" xfId="11" applyNumberFormat="1" applyFont="1" applyFill="1" applyBorder="1" applyAlignment="1" applyProtection="1">
      <alignment horizontal="center" vertical="center"/>
      <protection locked="0"/>
    </xf>
    <xf numFmtId="1" fontId="0" fillId="0" borderId="31" xfId="11" applyNumberFormat="1" applyFont="1" applyFill="1" applyBorder="1" applyAlignment="1" applyProtection="1">
      <alignment horizontal="center" vertical="center"/>
      <protection locked="0"/>
    </xf>
    <xf numFmtId="1" fontId="0" fillId="0" borderId="32" xfId="11" applyNumberFormat="1" applyFont="1" applyFill="1" applyBorder="1" applyAlignment="1" applyProtection="1">
      <alignment horizontal="center" vertical="center"/>
      <protection locked="0"/>
    </xf>
    <xf numFmtId="1" fontId="0" fillId="0" borderId="95" xfId="11" applyNumberFormat="1" applyFont="1" applyFill="1" applyBorder="1" applyAlignment="1" applyProtection="1">
      <alignment horizontal="center" vertical="center"/>
      <protection locked="0"/>
    </xf>
    <xf numFmtId="7" fontId="0" fillId="0" borderId="86" xfId="11" applyNumberFormat="1" applyFont="1" applyFill="1" applyBorder="1" applyAlignment="1" applyProtection="1">
      <alignment horizontal="center" vertical="center"/>
      <protection locked="0"/>
    </xf>
    <xf numFmtId="7" fontId="0" fillId="0" borderId="10" xfId="11" applyNumberFormat="1" applyFont="1" applyFill="1" applyBorder="1" applyAlignment="1" applyProtection="1">
      <alignment horizontal="center" vertical="center"/>
      <protection locked="0"/>
    </xf>
    <xf numFmtId="7" fontId="0" fillId="0" borderId="88" xfId="11" applyNumberFormat="1" applyFont="1" applyFill="1" applyBorder="1" applyAlignment="1" applyProtection="1">
      <alignment horizontal="center" vertical="center"/>
      <protection locked="0"/>
    </xf>
    <xf numFmtId="9" fontId="0" fillId="0" borderId="96" xfId="11" applyNumberFormat="1" applyFont="1" applyFill="1" applyBorder="1" applyAlignment="1" applyProtection="1">
      <alignment horizontal="center" vertical="center"/>
      <protection locked="0"/>
    </xf>
    <xf numFmtId="0" fontId="0" fillId="0" borderId="82" xfId="0" applyBorder="1" applyAlignment="1" applyProtection="1">
      <alignment vertical="center"/>
      <protection locked="0" hidden="1"/>
    </xf>
    <xf numFmtId="0" fontId="0" fillId="0" borderId="82" xfId="0" applyBorder="1" applyAlignment="1" applyProtection="1">
      <alignment horizontal="center" vertical="center"/>
      <protection locked="0" hidden="1"/>
    </xf>
    <xf numFmtId="17" fontId="11" fillId="18" borderId="26" xfId="0" applyNumberFormat="1" applyFont="1" applyFill="1" applyBorder="1" applyAlignment="1" applyProtection="1">
      <alignment horizontal="center" vertical="center"/>
      <protection locked="0"/>
    </xf>
    <xf numFmtId="17" fontId="90" fillId="18" borderId="11" xfId="0" applyNumberFormat="1" applyFont="1" applyFill="1" applyBorder="1" applyAlignment="1" applyProtection="1">
      <alignment horizontal="center" vertical="center"/>
      <protection locked="0"/>
    </xf>
    <xf numFmtId="1" fontId="11" fillId="18" borderId="25" xfId="0" applyNumberFormat="1" applyFont="1" applyFill="1" applyBorder="1" applyAlignment="1" applyProtection="1">
      <alignment horizontal="center" vertical="center"/>
      <protection locked="0"/>
    </xf>
    <xf numFmtId="1" fontId="11" fillId="18" borderId="87" xfId="0" applyNumberFormat="1" applyFont="1" applyFill="1" applyBorder="1" applyAlignment="1" applyProtection="1">
      <alignment horizontal="center" vertical="center"/>
      <protection locked="0"/>
    </xf>
    <xf numFmtId="1" fontId="11" fillId="18" borderId="26" xfId="0" applyNumberFormat="1" applyFont="1" applyFill="1" applyBorder="1" applyAlignment="1" applyProtection="1">
      <alignment horizontal="center" vertical="center"/>
      <protection locked="0"/>
    </xf>
    <xf numFmtId="0" fontId="0" fillId="0" borderId="16" xfId="0" applyBorder="1" applyAlignment="1" applyProtection="1">
      <alignment vertical="center"/>
      <protection locked="0"/>
    </xf>
    <xf numFmtId="183" fontId="80" fillId="0" borderId="0" xfId="0" applyNumberFormat="1" applyFont="1" applyProtection="1">
      <protection hidden="1"/>
    </xf>
    <xf numFmtId="184" fontId="80" fillId="0" borderId="0" xfId="0" applyNumberFormat="1" applyFont="1" applyProtection="1">
      <protection hidden="1"/>
    </xf>
    <xf numFmtId="6" fontId="107" fillId="0" borderId="93" xfId="0" applyNumberFormat="1" applyFont="1" applyBorder="1" applyAlignment="1">
      <alignment wrapText="1"/>
    </xf>
    <xf numFmtId="0" fontId="95" fillId="6" borderId="0" xfId="0" applyFont="1" applyFill="1" applyAlignment="1" applyProtection="1">
      <alignment wrapText="1"/>
      <protection hidden="1"/>
    </xf>
    <xf numFmtId="0" fontId="97" fillId="6" borderId="0" xfId="0" applyFont="1" applyFill="1" applyAlignment="1" applyProtection="1">
      <alignment horizontal="left"/>
      <protection hidden="1"/>
    </xf>
    <xf numFmtId="0" fontId="77" fillId="6" borderId="0" xfId="0" applyFont="1" applyFill="1" applyAlignment="1" applyProtection="1">
      <alignment horizontal="center"/>
      <protection hidden="1"/>
    </xf>
    <xf numFmtId="0" fontId="84" fillId="0" borderId="0" xfId="0" applyFont="1" applyProtection="1">
      <protection hidden="1"/>
    </xf>
    <xf numFmtId="0" fontId="84" fillId="0" borderId="0" xfId="0" applyFont="1" applyAlignment="1" applyProtection="1">
      <alignment wrapText="1"/>
      <protection hidden="1"/>
    </xf>
    <xf numFmtId="0" fontId="11" fillId="5" borderId="0" xfId="0" applyFont="1" applyFill="1" applyAlignment="1">
      <alignment wrapText="1"/>
    </xf>
    <xf numFmtId="0" fontId="85" fillId="0" borderId="0" xfId="0" applyFont="1"/>
    <xf numFmtId="188" fontId="0" fillId="0" borderId="0" xfId="0" applyNumberFormat="1"/>
    <xf numFmtId="4" fontId="0" fillId="0" borderId="0" xfId="0" applyNumberFormat="1"/>
    <xf numFmtId="0" fontId="86" fillId="0" borderId="0" xfId="0" applyFont="1" applyAlignment="1">
      <alignment horizontal="center" vertical="center"/>
    </xf>
    <xf numFmtId="9" fontId="86" fillId="0" borderId="0" xfId="0" applyNumberFormat="1" applyFont="1" applyAlignment="1">
      <alignment horizontal="center" vertical="center"/>
    </xf>
    <xf numFmtId="9" fontId="0" fillId="0" borderId="0" xfId="0" applyNumberFormat="1" applyAlignment="1">
      <alignment horizontal="center"/>
    </xf>
    <xf numFmtId="0" fontId="0" fillId="25" borderId="0" xfId="0" applyFill="1" applyAlignment="1">
      <alignment horizontal="left" vertical="center"/>
    </xf>
    <xf numFmtId="0" fontId="0" fillId="26" borderId="0" xfId="0" applyFill="1" applyAlignment="1">
      <alignment horizontal="left" vertical="center"/>
    </xf>
    <xf numFmtId="0" fontId="130" fillId="26" borderId="0" xfId="0" applyFont="1" applyFill="1" applyAlignment="1">
      <alignment horizontal="left"/>
    </xf>
    <xf numFmtId="0" fontId="0" fillId="26" borderId="0" xfId="0" applyFill="1"/>
    <xf numFmtId="0" fontId="0" fillId="26" borderId="0" xfId="0" applyFill="1" applyAlignment="1">
      <alignment wrapText="1"/>
    </xf>
    <xf numFmtId="0" fontId="133" fillId="25" borderId="0" xfId="0" applyFont="1" applyFill="1"/>
    <xf numFmtId="0" fontId="0" fillId="25" borderId="0" xfId="0" applyFill="1"/>
    <xf numFmtId="4" fontId="0" fillId="0" borderId="20" xfId="11" applyNumberFormat="1" applyFont="1" applyFill="1" applyBorder="1" applyAlignment="1" applyProtection="1">
      <alignment horizontal="center" vertical="center"/>
      <protection locked="0"/>
    </xf>
    <xf numFmtId="184" fontId="0" fillId="0" borderId="8" xfId="11" applyNumberFormat="1" applyFont="1" applyFill="1" applyBorder="1" applyAlignment="1" applyProtection="1">
      <alignment horizontal="center" vertical="center"/>
      <protection locked="0"/>
    </xf>
    <xf numFmtId="168" fontId="29" fillId="0" borderId="0" xfId="7"/>
    <xf numFmtId="168" fontId="8" fillId="8" borderId="0" xfId="7" applyFont="1" applyFill="1" applyAlignment="1">
      <alignment vertical="center"/>
    </xf>
    <xf numFmtId="168" fontId="8" fillId="8" borderId="0" xfId="7" applyFont="1" applyFill="1" applyAlignment="1">
      <alignment horizontal="left" vertical="center"/>
    </xf>
    <xf numFmtId="168" fontId="8" fillId="8" borderId="0" xfId="7" applyFont="1" applyFill="1" applyAlignment="1">
      <alignment horizontal="center" vertical="center"/>
    </xf>
    <xf numFmtId="168" fontId="8" fillId="8" borderId="0" xfId="7" applyFont="1" applyFill="1" applyAlignment="1">
      <alignment horizontal="right" vertical="center"/>
    </xf>
    <xf numFmtId="168" fontId="19" fillId="8" borderId="0" xfId="7" applyFont="1" applyFill="1" applyAlignment="1">
      <alignment vertical="center"/>
    </xf>
    <xf numFmtId="168" fontId="21" fillId="8" borderId="0" xfId="7" applyFont="1" applyFill="1" applyAlignment="1">
      <alignment vertical="center"/>
    </xf>
    <xf numFmtId="168" fontId="2" fillId="8" borderId="0" xfId="7" applyFont="1" applyFill="1" applyAlignment="1">
      <alignment vertical="center"/>
    </xf>
    <xf numFmtId="168" fontId="20" fillId="8" borderId="0" xfId="7" applyFont="1" applyFill="1" applyAlignment="1">
      <alignment vertical="center"/>
    </xf>
    <xf numFmtId="168" fontId="20" fillId="8" borderId="0" xfId="7" applyFont="1" applyFill="1" applyAlignment="1">
      <alignment horizontal="left" vertical="center"/>
    </xf>
    <xf numFmtId="168" fontId="3" fillId="8" borderId="0" xfId="7" applyFont="1" applyFill="1" applyAlignment="1">
      <alignment horizontal="left" vertical="center"/>
    </xf>
    <xf numFmtId="168" fontId="3" fillId="8" borderId="0" xfId="7" applyFont="1" applyFill="1" applyAlignment="1">
      <alignment vertical="center"/>
    </xf>
    <xf numFmtId="38" fontId="3" fillId="8" borderId="0" xfId="13" applyNumberFormat="1" applyFont="1" applyFill="1" applyAlignment="1">
      <alignment vertical="center"/>
    </xf>
    <xf numFmtId="168" fontId="27" fillId="8" borderId="0" xfId="7" applyFont="1" applyFill="1" applyAlignment="1">
      <alignment vertical="center"/>
    </xf>
    <xf numFmtId="168" fontId="26" fillId="8" borderId="0" xfId="7" applyFont="1" applyFill="1" applyAlignment="1">
      <alignment horizontal="left" vertical="center"/>
    </xf>
    <xf numFmtId="168" fontId="27" fillId="8" borderId="0" xfId="7" applyFont="1" applyFill="1" applyAlignment="1">
      <alignment horizontal="centerContinuous" vertical="center"/>
    </xf>
    <xf numFmtId="168" fontId="3" fillId="8" borderId="0" xfId="7" applyFont="1" applyFill="1" applyAlignment="1">
      <alignment horizontal="center" vertical="center"/>
    </xf>
    <xf numFmtId="1" fontId="5" fillId="8" borderId="0" xfId="7" applyNumberFormat="1" applyFont="1" applyFill="1" applyAlignment="1">
      <alignment vertical="center"/>
    </xf>
    <xf numFmtId="1" fontId="5" fillId="8" borderId="0" xfId="7" applyNumberFormat="1" applyFont="1" applyFill="1" applyAlignment="1">
      <alignment horizontal="left" vertical="center"/>
    </xf>
    <xf numFmtId="1" fontId="5" fillId="8" borderId="0" xfId="7" applyNumberFormat="1" applyFont="1" applyFill="1" applyAlignment="1">
      <alignment horizontal="center" vertical="center"/>
    </xf>
    <xf numFmtId="168" fontId="3" fillId="8" borderId="0" xfId="7" applyFont="1" applyFill="1"/>
    <xf numFmtId="168" fontId="3" fillId="8" borderId="0" xfId="7" applyFont="1" applyFill="1" applyAlignment="1">
      <alignment horizontal="center"/>
    </xf>
    <xf numFmtId="168" fontId="4" fillId="8" borderId="0" xfId="7" applyFont="1" applyFill="1" applyAlignment="1">
      <alignment horizontal="center" vertical="center"/>
    </xf>
    <xf numFmtId="2" fontId="5" fillId="8" borderId="0" xfId="7" applyNumberFormat="1" applyFont="1" applyFill="1" applyAlignment="1">
      <alignment horizontal="left" vertical="center"/>
    </xf>
    <xf numFmtId="168" fontId="7" fillId="8" borderId="0" xfId="7" applyFont="1" applyFill="1" applyAlignment="1">
      <alignment vertical="center"/>
    </xf>
    <xf numFmtId="168" fontId="7" fillId="8" borderId="0" xfId="7" applyFont="1" applyFill="1" applyAlignment="1">
      <alignment horizontal="center" vertical="center"/>
    </xf>
    <xf numFmtId="168" fontId="2" fillId="8" borderId="0" xfId="7" applyFont="1" applyFill="1" applyAlignment="1">
      <alignment horizontal="left" vertical="center"/>
    </xf>
    <xf numFmtId="2" fontId="23" fillId="8" borderId="0" xfId="7" applyNumberFormat="1" applyFont="1" applyFill="1" applyAlignment="1">
      <alignment horizontal="left" vertical="center"/>
    </xf>
    <xf numFmtId="168" fontId="2" fillId="8" borderId="0" xfId="7" applyFont="1" applyFill="1" applyAlignment="1">
      <alignment horizontal="center" vertical="center"/>
    </xf>
    <xf numFmtId="168" fontId="7" fillId="8" borderId="0" xfId="7" applyFont="1" applyFill="1" applyAlignment="1">
      <alignment horizontal="left" vertical="center"/>
    </xf>
    <xf numFmtId="38" fontId="8" fillId="8" borderId="0" xfId="13" applyNumberFormat="1" applyFont="1" applyFill="1" applyAlignment="1">
      <alignment horizontal="left" vertical="center"/>
    </xf>
    <xf numFmtId="38" fontId="8" fillId="8" borderId="0" xfId="13" applyNumberFormat="1" applyFont="1" applyFill="1" applyAlignment="1">
      <alignment horizontal="right" vertical="center"/>
    </xf>
    <xf numFmtId="168" fontId="25" fillId="8" borderId="0" xfId="7" applyFont="1" applyFill="1" applyAlignment="1">
      <alignment horizontal="left" vertical="center"/>
    </xf>
    <xf numFmtId="168" fontId="18" fillId="8" borderId="0" xfId="7" applyFont="1" applyFill="1" applyAlignment="1">
      <alignment horizontal="left" vertical="center"/>
    </xf>
    <xf numFmtId="168" fontId="28" fillId="8" borderId="0" xfId="7" applyFont="1" applyFill="1" applyAlignment="1">
      <alignment horizontal="left" vertical="center"/>
    </xf>
    <xf numFmtId="1" fontId="8" fillId="8" borderId="0" xfId="7" applyNumberFormat="1" applyFont="1" applyFill="1"/>
    <xf numFmtId="168" fontId="8" fillId="8" borderId="0" xfId="7" applyFont="1" applyFill="1"/>
    <xf numFmtId="0" fontId="8" fillId="8" borderId="0" xfId="7" applyNumberFormat="1" applyFont="1" applyFill="1" applyAlignment="1">
      <alignment horizontal="left" vertical="center"/>
    </xf>
    <xf numFmtId="168" fontId="8" fillId="8" borderId="0" xfId="7" applyFont="1" applyFill="1" applyAlignment="1">
      <alignment horizontal="left"/>
    </xf>
    <xf numFmtId="1" fontId="4" fillId="8" borderId="0" xfId="7" applyNumberFormat="1" applyFont="1" applyFill="1" applyAlignment="1">
      <alignment horizontal="left" vertical="center"/>
    </xf>
    <xf numFmtId="168" fontId="19" fillId="8" borderId="0" xfId="7" applyFont="1" applyFill="1" applyAlignment="1">
      <alignment horizontal="left" vertical="center"/>
    </xf>
    <xf numFmtId="2" fontId="8" fillId="8" borderId="0" xfId="7" applyNumberFormat="1" applyFont="1" applyFill="1" applyAlignment="1">
      <alignment horizontal="left"/>
    </xf>
    <xf numFmtId="168" fontId="8" fillId="8" borderId="0" xfId="7" applyFont="1" applyFill="1" applyAlignment="1">
      <alignment horizontal="center"/>
    </xf>
    <xf numFmtId="1" fontId="8" fillId="8" borderId="0" xfId="7" applyNumberFormat="1" applyFont="1" applyFill="1" applyAlignment="1">
      <alignment vertical="center"/>
    </xf>
    <xf numFmtId="168" fontId="1" fillId="8" borderId="0" xfId="7" applyFont="1" applyFill="1"/>
    <xf numFmtId="168" fontId="26" fillId="8" borderId="0" xfId="7" applyFont="1" applyFill="1"/>
    <xf numFmtId="2" fontId="4" fillId="8" borderId="0" xfId="7" applyNumberFormat="1" applyFont="1" applyFill="1" applyAlignment="1">
      <alignment horizontal="left"/>
    </xf>
    <xf numFmtId="3" fontId="8" fillId="6" borderId="0" xfId="7" applyNumberFormat="1" applyFont="1" applyFill="1" applyAlignment="1">
      <alignment horizontal="right" vertical="center"/>
    </xf>
    <xf numFmtId="2" fontId="8" fillId="6" borderId="0" xfId="7" applyNumberFormat="1" applyFont="1" applyFill="1" applyAlignment="1">
      <alignment horizontal="right" vertical="center"/>
    </xf>
    <xf numFmtId="168" fontId="3" fillId="6" borderId="0" xfId="7" applyFont="1" applyFill="1" applyAlignment="1">
      <alignment horizontal="right"/>
    </xf>
    <xf numFmtId="2" fontId="19" fillId="6" borderId="0" xfId="7" applyNumberFormat="1" applyFont="1" applyFill="1" applyAlignment="1">
      <alignment horizontal="right" vertical="center"/>
    </xf>
    <xf numFmtId="168" fontId="19" fillId="6" borderId="0" xfId="7" applyFont="1" applyFill="1" applyAlignment="1">
      <alignment horizontal="right" vertical="center"/>
    </xf>
    <xf numFmtId="168" fontId="1" fillId="6" borderId="0" xfId="7" applyFont="1" applyFill="1"/>
    <xf numFmtId="2" fontId="18" fillId="6" borderId="0" xfId="7" applyNumberFormat="1" applyFont="1" applyFill="1" applyAlignment="1">
      <alignment horizontal="right" vertical="center"/>
    </xf>
    <xf numFmtId="2" fontId="20" fillId="6" borderId="0" xfId="7" applyNumberFormat="1" applyFont="1" applyFill="1" applyAlignment="1">
      <alignment horizontal="right" vertical="center"/>
    </xf>
    <xf numFmtId="168" fontId="8" fillId="6" borderId="0" xfId="7" applyFont="1" applyFill="1"/>
    <xf numFmtId="168" fontId="20" fillId="6" borderId="0" xfId="7" applyFont="1" applyFill="1" applyAlignment="1">
      <alignment vertical="center"/>
    </xf>
    <xf numFmtId="168" fontId="1" fillId="6" borderId="0" xfId="7" applyFont="1" applyFill="1" applyAlignment="1">
      <alignment horizontal="centerContinuous" vertical="center"/>
    </xf>
    <xf numFmtId="168" fontId="2" fillId="6" borderId="0" xfId="7" applyFont="1" applyFill="1" applyAlignment="1">
      <alignment horizontal="centerContinuous" vertical="center"/>
    </xf>
    <xf numFmtId="168" fontId="1" fillId="6" borderId="27" xfId="7" applyFont="1" applyFill="1" applyBorder="1" applyAlignment="1">
      <alignment horizontal="centerContinuous" vertical="center"/>
    </xf>
    <xf numFmtId="168" fontId="2" fillId="6" borderId="27" xfId="7" applyFont="1" applyFill="1" applyBorder="1" applyAlignment="1">
      <alignment horizontal="centerContinuous" vertical="center"/>
    </xf>
    <xf numFmtId="168" fontId="2" fillId="6" borderId="6" xfId="7" applyFont="1" applyFill="1" applyBorder="1" applyAlignment="1">
      <alignment horizontal="centerContinuous" vertical="center"/>
    </xf>
    <xf numFmtId="168" fontId="1" fillId="6" borderId="27" xfId="7" quotePrefix="1" applyFont="1" applyFill="1" applyBorder="1" applyAlignment="1">
      <alignment horizontal="centerContinuous" vertical="center"/>
    </xf>
    <xf numFmtId="168" fontId="1" fillId="6" borderId="6" xfId="7" applyFont="1" applyFill="1" applyBorder="1" applyAlignment="1">
      <alignment horizontal="right" vertical="center"/>
    </xf>
    <xf numFmtId="2" fontId="1" fillId="6" borderId="6" xfId="7" applyNumberFormat="1" applyFont="1" applyFill="1" applyBorder="1" applyAlignment="1">
      <alignment horizontal="right" vertical="center"/>
    </xf>
    <xf numFmtId="2" fontId="1" fillId="6" borderId="0" xfId="7" applyNumberFormat="1" applyFont="1" applyFill="1" applyAlignment="1">
      <alignment horizontal="right" vertical="center"/>
    </xf>
    <xf numFmtId="168" fontId="1" fillId="6" borderId="0" xfId="7" applyFont="1" applyFill="1" applyAlignment="1">
      <alignment horizontal="center" vertical="center"/>
    </xf>
    <xf numFmtId="2" fontId="1" fillId="6" borderId="27" xfId="7" applyNumberFormat="1" applyFont="1" applyFill="1" applyBorder="1" applyAlignment="1">
      <alignment horizontal="centerContinuous" vertical="center"/>
    </xf>
    <xf numFmtId="168" fontId="1" fillId="6" borderId="0" xfId="7" applyFont="1" applyFill="1" applyAlignment="1">
      <alignment horizontal="right" vertical="center"/>
    </xf>
    <xf numFmtId="168" fontId="1" fillId="6" borderId="0" xfId="7" quotePrefix="1" applyFont="1" applyFill="1" applyAlignment="1">
      <alignment horizontal="right" vertical="center"/>
    </xf>
    <xf numFmtId="168" fontId="2" fillId="6" borderId="0" xfId="7" applyFont="1" applyFill="1" applyAlignment="1">
      <alignment vertical="center"/>
    </xf>
    <xf numFmtId="168" fontId="3" fillId="6" borderId="0" xfId="7" applyFont="1" applyFill="1"/>
    <xf numFmtId="168" fontId="26" fillId="6" borderId="0" xfId="7" applyFont="1" applyFill="1" applyAlignment="1">
      <alignment horizontal="center" vertical="center"/>
    </xf>
    <xf numFmtId="1" fontId="9" fillId="6" borderId="0" xfId="7" applyNumberFormat="1" applyFont="1" applyFill="1" applyAlignment="1">
      <alignment horizontal="right" vertical="center"/>
    </xf>
    <xf numFmtId="1" fontId="9" fillId="6" borderId="6" xfId="7" applyNumberFormat="1" applyFont="1" applyFill="1" applyBorder="1" applyAlignment="1">
      <alignment horizontal="right" vertical="center"/>
    </xf>
    <xf numFmtId="1" fontId="5" fillId="6" borderId="0" xfId="7" applyNumberFormat="1" applyFont="1" applyFill="1" applyAlignment="1">
      <alignment horizontal="right" vertical="center"/>
    </xf>
    <xf numFmtId="2" fontId="3" fillId="6" borderId="0" xfId="7" applyNumberFormat="1" applyFont="1" applyFill="1" applyAlignment="1">
      <alignment horizontal="right"/>
    </xf>
    <xf numFmtId="2" fontId="8" fillId="6" borderId="6" xfId="7" applyNumberFormat="1" applyFont="1" applyFill="1" applyBorder="1" applyAlignment="1">
      <alignment horizontal="right"/>
    </xf>
    <xf numFmtId="168" fontId="3" fillId="6" borderId="0" xfId="7" applyFont="1" applyFill="1" applyAlignment="1">
      <alignment horizontal="right" vertical="center"/>
    </xf>
    <xf numFmtId="168" fontId="3" fillId="6" borderId="0" xfId="7" applyFont="1" applyFill="1" applyAlignment="1">
      <alignment vertical="center"/>
    </xf>
    <xf numFmtId="168" fontId="8" fillId="6" borderId="0" xfId="7" applyFont="1" applyFill="1" applyAlignment="1">
      <alignment horizontal="right"/>
    </xf>
    <xf numFmtId="168" fontId="8" fillId="6" borderId="0" xfId="7" applyFont="1" applyFill="1" applyAlignment="1">
      <alignment horizontal="right" vertical="center"/>
    </xf>
    <xf numFmtId="168" fontId="8" fillId="6" borderId="0" xfId="7" applyFont="1" applyFill="1" applyAlignment="1">
      <alignment vertical="center"/>
    </xf>
    <xf numFmtId="2" fontId="26" fillId="6" borderId="0" xfId="7" applyNumberFormat="1" applyFont="1" applyFill="1" applyAlignment="1">
      <alignment horizontal="center" vertical="center"/>
    </xf>
    <xf numFmtId="5" fontId="8" fillId="8" borderId="0" xfId="7" applyNumberFormat="1" applyFont="1" applyFill="1" applyAlignment="1">
      <alignment horizontal="right" vertical="center"/>
    </xf>
    <xf numFmtId="172" fontId="8" fillId="8" borderId="0" xfId="7" applyNumberFormat="1" applyFont="1" applyFill="1" applyAlignment="1">
      <alignment horizontal="left" vertical="center"/>
    </xf>
    <xf numFmtId="172" fontId="3" fillId="8" borderId="0" xfId="7" applyNumberFormat="1" applyFont="1" applyFill="1" applyAlignment="1">
      <alignment vertical="center"/>
    </xf>
    <xf numFmtId="172" fontId="8" fillId="8" borderId="0" xfId="7" applyNumberFormat="1" applyFont="1" applyFill="1" applyAlignment="1">
      <alignment horizontal="right" vertical="center"/>
    </xf>
    <xf numFmtId="165" fontId="4" fillId="8" borderId="0" xfId="7" applyNumberFormat="1" applyFont="1" applyFill="1" applyAlignment="1">
      <alignment vertical="center"/>
    </xf>
    <xf numFmtId="165" fontId="4" fillId="8" borderId="0" xfId="7" quotePrefix="1" applyNumberFormat="1" applyFont="1" applyFill="1" applyAlignment="1">
      <alignment horizontal="left" vertical="center"/>
    </xf>
    <xf numFmtId="165" fontId="4" fillId="8" borderId="0" xfId="7" applyNumberFormat="1" applyFont="1" applyFill="1" applyAlignment="1">
      <alignment horizontal="left" vertical="center"/>
    </xf>
    <xf numFmtId="165" fontId="4" fillId="8" borderId="0" xfId="7" applyNumberFormat="1" applyFont="1" applyFill="1" applyAlignment="1">
      <alignment horizontal="center" vertical="center"/>
    </xf>
    <xf numFmtId="165" fontId="7" fillId="8" borderId="0" xfId="7" applyNumberFormat="1" applyFont="1" applyFill="1" applyAlignment="1">
      <alignment horizontal="left" vertical="center"/>
    </xf>
    <xf numFmtId="165" fontId="7" fillId="8" borderId="0" xfId="7" quotePrefix="1" applyNumberFormat="1" applyFont="1" applyFill="1" applyAlignment="1">
      <alignment horizontal="left" vertical="center"/>
    </xf>
    <xf numFmtId="165" fontId="7" fillId="8" borderId="0" xfId="7" applyNumberFormat="1" applyFont="1" applyFill="1" applyAlignment="1">
      <alignment horizontal="center" vertical="center"/>
    </xf>
    <xf numFmtId="172" fontId="8" fillId="6" borderId="0" xfId="7" applyNumberFormat="1" applyFont="1" applyFill="1" applyAlignment="1">
      <alignment horizontal="right" vertical="center"/>
    </xf>
    <xf numFmtId="165" fontId="8" fillId="6" borderId="0" xfId="7" applyNumberFormat="1" applyFont="1" applyFill="1" applyAlignment="1">
      <alignment horizontal="right" vertical="center"/>
    </xf>
    <xf numFmtId="165" fontId="8" fillId="8" borderId="0" xfId="7" applyNumberFormat="1" applyFont="1" applyFill="1"/>
    <xf numFmtId="165" fontId="1" fillId="6" borderId="0" xfId="7" applyNumberFormat="1" applyFont="1" applyFill="1" applyAlignment="1">
      <alignment horizontal="right" vertical="center"/>
    </xf>
    <xf numFmtId="165" fontId="7" fillId="8" borderId="0" xfId="7" applyNumberFormat="1" applyFont="1" applyFill="1" applyAlignment="1">
      <alignment vertical="center"/>
    </xf>
    <xf numFmtId="168" fontId="114" fillId="8" borderId="0" xfId="28" applyFont="1" applyFill="1" applyAlignment="1">
      <alignment horizontal="right" vertical="center"/>
    </xf>
    <xf numFmtId="168" fontId="137" fillId="0" borderId="0" xfId="15" applyFont="1"/>
    <xf numFmtId="10" fontId="0" fillId="0" borderId="104" xfId="0" applyNumberFormat="1" applyBorder="1" applyAlignment="1">
      <alignment horizontal="center"/>
    </xf>
    <xf numFmtId="0" fontId="0" fillId="0" borderId="122" xfId="0" applyBorder="1"/>
    <xf numFmtId="168" fontId="8" fillId="8" borderId="5" xfId="7" applyFont="1" applyFill="1" applyBorder="1" applyAlignment="1">
      <alignment horizontal="left" vertical="center"/>
    </xf>
    <xf numFmtId="168" fontId="8" fillId="8" borderId="5" xfId="7" applyFont="1" applyFill="1" applyBorder="1" applyAlignment="1">
      <alignment vertical="center"/>
    </xf>
    <xf numFmtId="2" fontId="8" fillId="6" borderId="5" xfId="7" applyNumberFormat="1" applyFont="1" applyFill="1" applyBorder="1" applyAlignment="1">
      <alignment horizontal="right" vertical="center"/>
    </xf>
    <xf numFmtId="168" fontId="8" fillId="6" borderId="5" xfId="7" applyFont="1" applyFill="1" applyBorder="1"/>
    <xf numFmtId="168" fontId="8" fillId="6" borderId="5" xfId="7" applyFont="1" applyFill="1" applyBorder="1" applyAlignment="1">
      <alignment vertical="center"/>
    </xf>
    <xf numFmtId="168" fontId="1" fillId="6" borderId="5" xfId="7" applyFont="1" applyFill="1" applyBorder="1" applyAlignment="1">
      <alignment horizontal="centerContinuous" vertical="center"/>
    </xf>
    <xf numFmtId="1" fontId="9" fillId="6" borderId="5" xfId="7" applyNumberFormat="1" applyFont="1" applyFill="1" applyBorder="1" applyAlignment="1">
      <alignment horizontal="right" vertical="center"/>
    </xf>
    <xf numFmtId="168" fontId="3" fillId="8" borderId="5" xfId="7" applyFont="1" applyFill="1" applyBorder="1" applyAlignment="1">
      <alignment horizontal="left" vertical="center"/>
    </xf>
    <xf numFmtId="168" fontId="3" fillId="8" borderId="5" xfId="7" applyFont="1" applyFill="1" applyBorder="1" applyAlignment="1">
      <alignment horizontal="center" vertical="center"/>
    </xf>
    <xf numFmtId="1" fontId="5" fillId="8" borderId="5" xfId="7" applyNumberFormat="1" applyFont="1" applyFill="1" applyBorder="1" applyAlignment="1">
      <alignment horizontal="center" vertical="center"/>
    </xf>
    <xf numFmtId="1" fontId="5" fillId="6" borderId="5" xfId="7" applyNumberFormat="1" applyFont="1" applyFill="1" applyBorder="1" applyAlignment="1">
      <alignment horizontal="right" vertical="center"/>
    </xf>
    <xf numFmtId="168" fontId="2" fillId="8" borderId="5" xfId="7" applyFont="1" applyFill="1" applyBorder="1" applyAlignment="1">
      <alignment horizontal="left" vertical="center"/>
    </xf>
    <xf numFmtId="2" fontId="23" fillId="8" borderId="5" xfId="7" applyNumberFormat="1" applyFont="1" applyFill="1" applyBorder="1" applyAlignment="1">
      <alignment horizontal="left" vertical="center"/>
    </xf>
    <xf numFmtId="168" fontId="2" fillId="8" borderId="5" xfId="7" applyFont="1" applyFill="1" applyBorder="1" applyAlignment="1">
      <alignment horizontal="center" vertical="center"/>
    </xf>
    <xf numFmtId="168" fontId="1" fillId="6" borderId="5" xfId="7" applyFont="1" applyFill="1" applyBorder="1" applyAlignment="1">
      <alignment horizontal="right" vertical="center"/>
    </xf>
    <xf numFmtId="2" fontId="5" fillId="8" borderId="5" xfId="7" applyNumberFormat="1" applyFont="1" applyFill="1" applyBorder="1" applyAlignment="1">
      <alignment horizontal="left" vertical="center"/>
    </xf>
    <xf numFmtId="168" fontId="3" fillId="6" borderId="5" xfId="7" applyFont="1" applyFill="1" applyBorder="1" applyAlignment="1">
      <alignment horizontal="right" vertical="center"/>
    </xf>
    <xf numFmtId="168" fontId="3" fillId="6" borderId="5" xfId="7" applyFont="1" applyFill="1" applyBorder="1" applyAlignment="1">
      <alignment horizontal="center" vertical="center"/>
    </xf>
    <xf numFmtId="0" fontId="25" fillId="8" borderId="0" xfId="0" applyFont="1" applyFill="1" applyAlignment="1">
      <alignment horizontal="left" vertical="center"/>
    </xf>
    <xf numFmtId="0" fontId="21" fillId="8" borderId="0" xfId="0" applyFont="1" applyFill="1" applyAlignment="1">
      <alignment vertical="center"/>
    </xf>
    <xf numFmtId="0" fontId="19" fillId="8" borderId="0" xfId="0" applyFont="1" applyFill="1" applyAlignment="1">
      <alignment horizontal="left" vertical="center"/>
    </xf>
    <xf numFmtId="2" fontId="19" fillId="8" borderId="0" xfId="0" applyNumberFormat="1" applyFont="1" applyFill="1" applyAlignment="1">
      <alignment horizontal="right" vertical="center"/>
    </xf>
    <xf numFmtId="0" fontId="19" fillId="8" borderId="0" xfId="0" applyFont="1" applyFill="1" applyAlignment="1">
      <alignment horizontal="right" vertical="center"/>
    </xf>
    <xf numFmtId="0" fontId="1" fillId="8" borderId="0" xfId="0" applyFont="1" applyFill="1"/>
    <xf numFmtId="0" fontId="19" fillId="8" borderId="0" xfId="0" applyFont="1" applyFill="1" applyAlignment="1">
      <alignment vertical="center"/>
    </xf>
    <xf numFmtId="0" fontId="18" fillId="8" borderId="0" xfId="0" applyFont="1" applyFill="1" applyAlignment="1">
      <alignment horizontal="left" vertical="center"/>
    </xf>
    <xf numFmtId="2" fontId="18" fillId="8" borderId="0" xfId="0" applyNumberFormat="1" applyFont="1" applyFill="1" applyAlignment="1">
      <alignment horizontal="right" vertical="center"/>
    </xf>
    <xf numFmtId="0" fontId="28" fillId="8" borderId="0" xfId="0" applyFont="1" applyFill="1" applyAlignment="1">
      <alignment horizontal="left" vertical="center"/>
    </xf>
    <xf numFmtId="0" fontId="2" fillId="8" borderId="0" xfId="0" applyFont="1" applyFill="1" applyAlignment="1">
      <alignment vertical="center"/>
    </xf>
    <xf numFmtId="0" fontId="8" fillId="8" borderId="56" xfId="0" applyFont="1" applyFill="1" applyBorder="1" applyAlignment="1">
      <alignment horizontal="left" vertical="center"/>
    </xf>
    <xf numFmtId="0" fontId="8" fillId="8" borderId="56" xfId="0" applyFont="1" applyFill="1" applyBorder="1" applyAlignment="1">
      <alignment vertical="center"/>
    </xf>
    <xf numFmtId="2" fontId="8" fillId="8" borderId="56" xfId="0" applyNumberFormat="1" applyFont="1" applyFill="1" applyBorder="1" applyAlignment="1">
      <alignment horizontal="right" vertical="center"/>
    </xf>
    <xf numFmtId="0" fontId="8" fillId="8" borderId="56" xfId="0" applyFont="1" applyFill="1" applyBorder="1"/>
    <xf numFmtId="0" fontId="20" fillId="8" borderId="0" xfId="0" applyFont="1" applyFill="1" applyAlignment="1">
      <alignment horizontal="left" vertical="center"/>
    </xf>
    <xf numFmtId="0" fontId="3" fillId="8" borderId="0" xfId="0" applyFont="1" applyFill="1" applyAlignment="1">
      <alignment horizontal="left" vertical="center"/>
    </xf>
    <xf numFmtId="0" fontId="20" fillId="8" borderId="0" xfId="0" applyFont="1" applyFill="1" applyAlignment="1">
      <alignment vertical="center"/>
    </xf>
    <xf numFmtId="2" fontId="20" fillId="8" borderId="0" xfId="0" applyNumberFormat="1" applyFont="1" applyFill="1" applyAlignment="1">
      <alignment horizontal="right" vertical="center"/>
    </xf>
    <xf numFmtId="0" fontId="8" fillId="8" borderId="0" xfId="0" applyFont="1" applyFill="1"/>
    <xf numFmtId="0" fontId="1" fillId="8" borderId="56" xfId="0" applyFont="1" applyFill="1" applyBorder="1" applyAlignment="1">
      <alignment horizontal="centerContinuous" vertical="center"/>
    </xf>
    <xf numFmtId="0" fontId="1" fillId="8" borderId="0" xfId="0" applyFont="1" applyFill="1" applyAlignment="1">
      <alignment horizontal="centerContinuous" vertical="center"/>
    </xf>
    <xf numFmtId="0" fontId="2" fillId="8" borderId="0" xfId="0" applyFont="1" applyFill="1" applyAlignment="1">
      <alignment horizontal="centerContinuous" vertical="center"/>
    </xf>
    <xf numFmtId="0" fontId="8" fillId="8" borderId="0" xfId="0" applyFont="1" applyFill="1" applyAlignment="1">
      <alignment horizontal="left" vertical="center"/>
    </xf>
    <xf numFmtId="5" fontId="8" fillId="8" borderId="0" xfId="0" applyNumberFormat="1" applyFont="1" applyFill="1" applyAlignment="1">
      <alignment horizontal="right" vertical="center"/>
    </xf>
    <xf numFmtId="0" fontId="1" fillId="8" borderId="105" xfId="0" applyFont="1" applyFill="1" applyBorder="1" applyAlignment="1">
      <alignment horizontal="centerContinuous" vertical="center"/>
    </xf>
    <xf numFmtId="0" fontId="2" fillId="8" borderId="105" xfId="0" applyFont="1" applyFill="1" applyBorder="1" applyAlignment="1">
      <alignment horizontal="centerContinuous" vertical="center"/>
    </xf>
    <xf numFmtId="0" fontId="2" fillId="8" borderId="106" xfId="0" applyFont="1" applyFill="1" applyBorder="1" applyAlignment="1">
      <alignment horizontal="centerContinuous" vertical="center"/>
    </xf>
    <xf numFmtId="0" fontId="1" fillId="8" borderId="105" xfId="0" quotePrefix="1" applyFont="1" applyFill="1" applyBorder="1" applyAlignment="1">
      <alignment horizontal="centerContinuous" vertical="center"/>
    </xf>
    <xf numFmtId="0" fontId="1" fillId="8" borderId="106" xfId="0" applyFont="1" applyFill="1" applyBorder="1" applyAlignment="1">
      <alignment horizontal="right" vertical="center"/>
    </xf>
    <xf numFmtId="2" fontId="1" fillId="8" borderId="106" xfId="0" applyNumberFormat="1" applyFont="1" applyFill="1" applyBorder="1" applyAlignment="1">
      <alignment horizontal="right" vertical="center"/>
    </xf>
    <xf numFmtId="2" fontId="1" fillId="8" borderId="0" xfId="0" applyNumberFormat="1" applyFont="1" applyFill="1" applyAlignment="1">
      <alignment horizontal="right" vertical="center"/>
    </xf>
    <xf numFmtId="0" fontId="1" fillId="8" borderId="0" xfId="0" applyFont="1" applyFill="1" applyAlignment="1">
      <alignment horizontal="center" vertical="center"/>
    </xf>
    <xf numFmtId="2" fontId="1" fillId="8" borderId="105" xfId="0" applyNumberFormat="1" applyFont="1" applyFill="1" applyBorder="1" applyAlignment="1">
      <alignment horizontal="centerContinuous" vertical="center"/>
    </xf>
    <xf numFmtId="0" fontId="8" fillId="8" borderId="0" xfId="0" applyFont="1" applyFill="1" applyAlignment="1">
      <alignment horizontal="right" vertical="center"/>
    </xf>
    <xf numFmtId="0" fontId="1" fillId="8" borderId="0" xfId="0" quotePrefix="1" applyFont="1" applyFill="1" applyAlignment="1">
      <alignment horizontal="right" vertical="center"/>
    </xf>
    <xf numFmtId="0" fontId="3" fillId="8" borderId="0" xfId="0" applyFont="1" applyFill="1" applyAlignment="1">
      <alignment vertical="center"/>
    </xf>
    <xf numFmtId="0" fontId="3" fillId="8" borderId="0" xfId="0" applyFont="1" applyFill="1"/>
    <xf numFmtId="1" fontId="4" fillId="8" borderId="0" xfId="0" applyNumberFormat="1" applyFont="1" applyFill="1" applyAlignment="1">
      <alignment horizontal="left" vertical="center"/>
    </xf>
    <xf numFmtId="165" fontId="4" fillId="8" borderId="0" xfId="0" applyNumberFormat="1" applyFont="1" applyFill="1" applyAlignment="1">
      <alignment horizontal="left" vertical="center"/>
    </xf>
    <xf numFmtId="38" fontId="8" fillId="8" borderId="0" xfId="1" applyNumberFormat="1" applyFont="1" applyFill="1" applyAlignment="1">
      <alignment horizontal="left" vertical="center"/>
    </xf>
    <xf numFmtId="38" fontId="3" fillId="8" borderId="0" xfId="1" applyNumberFormat="1" applyFont="1" applyFill="1" applyAlignment="1">
      <alignment vertical="center"/>
    </xf>
    <xf numFmtId="38" fontId="8" fillId="8" borderId="0" xfId="1" applyNumberFormat="1" applyFont="1" applyFill="1" applyAlignment="1">
      <alignment horizontal="right" vertical="center"/>
    </xf>
    <xf numFmtId="165" fontId="4" fillId="8" borderId="0" xfId="0" applyNumberFormat="1" applyFont="1" applyFill="1" applyAlignment="1">
      <alignment vertical="center"/>
    </xf>
    <xf numFmtId="172" fontId="8" fillId="8" borderId="0" xfId="0" applyNumberFormat="1" applyFont="1" applyFill="1" applyAlignment="1">
      <alignment horizontal="left" vertical="center"/>
    </xf>
    <xf numFmtId="172" fontId="3" fillId="8" borderId="0" xfId="0" applyNumberFormat="1" applyFont="1" applyFill="1" applyAlignment="1">
      <alignment vertical="center"/>
    </xf>
    <xf numFmtId="0" fontId="26" fillId="8" borderId="0" xfId="0" applyFont="1" applyFill="1" applyAlignment="1">
      <alignment horizontal="left" vertical="center"/>
    </xf>
    <xf numFmtId="0" fontId="27" fillId="8" borderId="0" xfId="0" applyFont="1" applyFill="1" applyAlignment="1">
      <alignment vertical="center"/>
    </xf>
    <xf numFmtId="0" fontId="27" fillId="8" borderId="0" xfId="0" applyFont="1" applyFill="1" applyAlignment="1">
      <alignment horizontal="centerContinuous" vertical="center"/>
    </xf>
    <xf numFmtId="2" fontId="26" fillId="8" borderId="0" xfId="0" applyNumberFormat="1" applyFont="1" applyFill="1" applyAlignment="1">
      <alignment horizontal="centerContinuous" vertical="center"/>
    </xf>
    <xf numFmtId="0" fontId="26" fillId="8" borderId="0" xfId="0" applyFont="1" applyFill="1" applyAlignment="1">
      <alignment horizontal="centerContinuous" vertical="center"/>
    </xf>
    <xf numFmtId="0" fontId="3" fillId="8" borderId="0" xfId="0" applyFont="1" applyFill="1" applyAlignment="1">
      <alignment horizontal="center" vertical="center"/>
    </xf>
    <xf numFmtId="0" fontId="3" fillId="8" borderId="0" xfId="0" applyFont="1" applyFill="1" applyAlignment="1">
      <alignment horizontal="right"/>
    </xf>
    <xf numFmtId="165" fontId="4" fillId="8" borderId="0" xfId="0" applyNumberFormat="1" applyFont="1" applyFill="1" applyAlignment="1">
      <alignment horizontal="center" vertical="center"/>
    </xf>
    <xf numFmtId="1" fontId="5" fillId="8" borderId="0" xfId="0" applyNumberFormat="1" applyFont="1" applyFill="1" applyAlignment="1">
      <alignment horizontal="left" vertical="center"/>
    </xf>
    <xf numFmtId="1" fontId="5" fillId="8" borderId="0" xfId="0" applyNumberFormat="1" applyFont="1" applyFill="1" applyAlignment="1">
      <alignment horizontal="center" vertical="center"/>
    </xf>
    <xf numFmtId="1" fontId="5" fillId="8" borderId="0" xfId="0" applyNumberFormat="1" applyFont="1" applyFill="1" applyAlignment="1">
      <alignment vertical="center"/>
    </xf>
    <xf numFmtId="1" fontId="9" fillId="8" borderId="56" xfId="0" applyNumberFormat="1" applyFont="1" applyFill="1" applyBorder="1" applyAlignment="1">
      <alignment horizontal="right" vertical="center"/>
    </xf>
    <xf numFmtId="165" fontId="4" fillId="8" borderId="0" xfId="0" quotePrefix="1" applyNumberFormat="1" applyFont="1" applyFill="1" applyAlignment="1">
      <alignment horizontal="left" vertical="center"/>
    </xf>
    <xf numFmtId="0" fontId="3" fillId="8" borderId="56" xfId="0" applyFont="1" applyFill="1" applyBorder="1" applyAlignment="1">
      <alignment horizontal="left" vertical="center"/>
    </xf>
    <xf numFmtId="1" fontId="5" fillId="8" borderId="56" xfId="0" applyNumberFormat="1" applyFont="1" applyFill="1" applyBorder="1" applyAlignment="1">
      <alignment horizontal="right" vertical="center"/>
    </xf>
    <xf numFmtId="165" fontId="7" fillId="8" borderId="0" xfId="0" applyNumberFormat="1" applyFont="1" applyFill="1" applyAlignment="1">
      <alignment horizontal="left" vertical="center"/>
    </xf>
    <xf numFmtId="165" fontId="7" fillId="8" borderId="0" xfId="0" applyNumberFormat="1" applyFont="1" applyFill="1" applyAlignment="1">
      <alignment vertical="center"/>
    </xf>
    <xf numFmtId="0" fontId="4" fillId="8" borderId="0" xfId="0" applyFont="1" applyFill="1" applyAlignment="1">
      <alignment horizontal="center" vertical="center"/>
    </xf>
    <xf numFmtId="0" fontId="3" fillId="8" borderId="56" xfId="0" applyFont="1" applyFill="1" applyBorder="1" applyAlignment="1">
      <alignment horizontal="center" vertical="center"/>
    </xf>
    <xf numFmtId="1" fontId="5" fillId="8" borderId="56" xfId="0" applyNumberFormat="1" applyFont="1" applyFill="1" applyBorder="1" applyAlignment="1">
      <alignment horizontal="center" vertical="center"/>
    </xf>
    <xf numFmtId="0" fontId="3" fillId="8" borderId="0" xfId="0" applyFont="1" applyFill="1" applyAlignment="1">
      <alignment horizontal="center"/>
    </xf>
    <xf numFmtId="0" fontId="7" fillId="8" borderId="0" xfId="0" applyFont="1" applyFill="1" applyAlignment="1">
      <alignment horizontal="center" vertical="center"/>
    </xf>
    <xf numFmtId="165" fontId="7" fillId="8" borderId="0" xfId="0" applyNumberFormat="1" applyFont="1" applyFill="1" applyAlignment="1">
      <alignment horizontal="center" vertical="center"/>
    </xf>
    <xf numFmtId="0" fontId="2" fillId="8" borderId="56" xfId="0" applyFont="1" applyFill="1" applyBorder="1" applyAlignment="1">
      <alignment horizontal="left" vertical="center"/>
    </xf>
    <xf numFmtId="2" fontId="23" fillId="8" borderId="56" xfId="0" applyNumberFormat="1" applyFont="1" applyFill="1" applyBorder="1" applyAlignment="1">
      <alignment horizontal="left" vertical="center"/>
    </xf>
    <xf numFmtId="0" fontId="2" fillId="8" borderId="56" xfId="0" applyFont="1" applyFill="1" applyBorder="1" applyAlignment="1">
      <alignment horizontal="center" vertical="center"/>
    </xf>
    <xf numFmtId="0" fontId="2" fillId="8" borderId="0" xfId="0" applyFont="1" applyFill="1" applyAlignment="1">
      <alignment horizontal="left" vertical="center"/>
    </xf>
    <xf numFmtId="2" fontId="23" fillId="8" borderId="0" xfId="0" applyNumberFormat="1" applyFont="1" applyFill="1" applyAlignment="1">
      <alignment horizontal="left" vertical="center"/>
    </xf>
    <xf numFmtId="0" fontId="2" fillId="8" borderId="0" xfId="0" applyFont="1" applyFill="1" applyAlignment="1">
      <alignment horizontal="center" vertical="center"/>
    </xf>
    <xf numFmtId="0" fontId="7" fillId="8" borderId="0" xfId="0" applyFont="1" applyFill="1" applyAlignment="1">
      <alignment horizontal="left" vertical="center"/>
    </xf>
    <xf numFmtId="0" fontId="7" fillId="8" borderId="0" xfId="0" applyFont="1" applyFill="1" applyAlignment="1">
      <alignment vertical="center"/>
    </xf>
    <xf numFmtId="165" fontId="7" fillId="8" borderId="0" xfId="0" quotePrefix="1" applyNumberFormat="1" applyFont="1" applyFill="1" applyAlignment="1">
      <alignment horizontal="left" vertical="center"/>
    </xf>
    <xf numFmtId="2" fontId="5" fillId="8" borderId="56" xfId="0" applyNumberFormat="1" applyFont="1" applyFill="1" applyBorder="1" applyAlignment="1">
      <alignment horizontal="left" vertical="center"/>
    </xf>
    <xf numFmtId="0" fontId="3" fillId="8" borderId="56" xfId="0" applyFont="1" applyFill="1" applyBorder="1" applyAlignment="1">
      <alignment horizontal="right" vertical="center"/>
    </xf>
    <xf numFmtId="2" fontId="5" fillId="8" borderId="0" xfId="0" applyNumberFormat="1" applyFont="1" applyFill="1" applyAlignment="1">
      <alignment horizontal="left" vertical="center"/>
    </xf>
    <xf numFmtId="0" fontId="3" fillId="8" borderId="0" xfId="0" applyFont="1" applyFill="1" applyAlignment="1">
      <alignment horizontal="right" vertical="center"/>
    </xf>
    <xf numFmtId="1" fontId="8" fillId="8" borderId="0" xfId="0" applyNumberFormat="1" applyFont="1" applyFill="1" applyAlignment="1">
      <alignment vertical="center"/>
    </xf>
    <xf numFmtId="2" fontId="4" fillId="8" borderId="0" xfId="0" applyNumberFormat="1" applyFont="1" applyFill="1" applyAlignment="1">
      <alignment horizontal="left"/>
    </xf>
    <xf numFmtId="0" fontId="8" fillId="8" borderId="0" xfId="0" applyFont="1" applyFill="1" applyAlignment="1">
      <alignment horizontal="left"/>
    </xf>
    <xf numFmtId="0" fontId="8" fillId="8" borderId="0" xfId="0" applyFont="1" applyFill="1" applyAlignment="1">
      <alignment horizontal="center"/>
    </xf>
    <xf numFmtId="0" fontId="8" fillId="8" borderId="0" xfId="0" applyFont="1" applyFill="1" applyAlignment="1">
      <alignment horizontal="right"/>
    </xf>
    <xf numFmtId="0" fontId="8" fillId="8" borderId="0" xfId="0" applyFont="1" applyFill="1" applyAlignment="1">
      <alignment vertical="center"/>
    </xf>
    <xf numFmtId="2" fontId="8" fillId="8" borderId="0" xfId="0" applyNumberFormat="1" applyFont="1" applyFill="1" applyAlignment="1">
      <alignment horizontal="left"/>
    </xf>
    <xf numFmtId="0" fontId="8" fillId="8" borderId="0" xfId="0" applyFont="1" applyFill="1" applyAlignment="1">
      <alignment horizontal="center" vertical="center"/>
    </xf>
    <xf numFmtId="0" fontId="120" fillId="0" borderId="9" xfId="0" applyFont="1" applyBorder="1" applyAlignment="1" applyProtection="1">
      <alignment horizontal="right"/>
      <protection hidden="1"/>
    </xf>
    <xf numFmtId="43" fontId="11" fillId="0" borderId="0" xfId="0" applyNumberFormat="1" applyFont="1"/>
    <xf numFmtId="0" fontId="102" fillId="0" borderId="0" xfId="0" applyFont="1" applyProtection="1">
      <protection hidden="1"/>
    </xf>
    <xf numFmtId="164" fontId="102" fillId="0" borderId="0" xfId="0" applyNumberFormat="1" applyFont="1" applyProtection="1">
      <protection hidden="1"/>
    </xf>
    <xf numFmtId="169" fontId="99" fillId="6" borderId="0" xfId="0" applyNumberFormat="1" applyFont="1" applyFill="1" applyProtection="1">
      <protection hidden="1"/>
    </xf>
    <xf numFmtId="169" fontId="102" fillId="6" borderId="0" xfId="1" applyNumberFormat="1" applyFont="1" applyFill="1" applyBorder="1" applyAlignment="1" applyProtection="1">
      <alignment wrapText="1"/>
      <protection hidden="1"/>
    </xf>
    <xf numFmtId="0" fontId="102" fillId="6" borderId="0" xfId="0" applyFont="1" applyFill="1" applyAlignment="1" applyProtection="1">
      <alignment horizontal="right"/>
      <protection hidden="1"/>
    </xf>
    <xf numFmtId="0" fontId="102" fillId="0" borderId="0" xfId="0" applyFont="1" applyAlignment="1" applyProtection="1">
      <alignment horizontal="right"/>
      <protection hidden="1"/>
    </xf>
    <xf numFmtId="169" fontId="102" fillId="6" borderId="0" xfId="1" applyNumberFormat="1" applyFont="1" applyFill="1" applyBorder="1" applyAlignment="1" applyProtection="1">
      <alignment horizontal="right"/>
      <protection hidden="1"/>
    </xf>
    <xf numFmtId="0" fontId="140" fillId="6" borderId="0" xfId="0" applyFont="1" applyFill="1" applyAlignment="1" applyProtection="1">
      <alignment horizontal="center"/>
      <protection hidden="1"/>
    </xf>
    <xf numFmtId="0" fontId="119" fillId="6" borderId="0" xfId="0" applyFont="1" applyFill="1" applyAlignment="1" applyProtection="1">
      <alignment horizontal="right"/>
      <protection hidden="1"/>
    </xf>
    <xf numFmtId="0" fontId="119" fillId="6" borderId="0" xfId="0" applyFont="1" applyFill="1" applyAlignment="1" applyProtection="1">
      <alignment horizontal="left"/>
      <protection hidden="1"/>
    </xf>
    <xf numFmtId="0" fontId="119" fillId="18" borderId="97" xfId="0" applyFont="1" applyFill="1" applyBorder="1" applyAlignment="1" applyProtection="1">
      <alignment vertical="center"/>
      <protection hidden="1"/>
    </xf>
    <xf numFmtId="0" fontId="119" fillId="18" borderId="97" xfId="0" applyFont="1" applyFill="1" applyBorder="1" applyProtection="1">
      <protection hidden="1"/>
    </xf>
    <xf numFmtId="183" fontId="118" fillId="6" borderId="97" xfId="1" applyNumberFormat="1" applyFont="1" applyFill="1" applyBorder="1" applyAlignment="1" applyProtection="1">
      <alignment horizontal="center"/>
      <protection hidden="1"/>
    </xf>
    <xf numFmtId="183" fontId="88" fillId="18" borderId="97" xfId="0" applyNumberFormat="1" applyFont="1" applyFill="1" applyBorder="1" applyAlignment="1" applyProtection="1">
      <alignment horizontal="center" vertical="center"/>
      <protection hidden="1"/>
    </xf>
    <xf numFmtId="183" fontId="118" fillId="0" borderId="0" xfId="0" applyNumberFormat="1" applyFont="1" applyAlignment="1" applyProtection="1">
      <alignment vertical="center"/>
      <protection hidden="1"/>
    </xf>
    <xf numFmtId="183" fontId="118" fillId="6" borderId="97" xfId="1" applyNumberFormat="1" applyFont="1" applyFill="1" applyBorder="1" applyAlignment="1" applyProtection="1">
      <alignment horizontal="center" vertical="center"/>
      <protection hidden="1"/>
    </xf>
    <xf numFmtId="183" fontId="88" fillId="18" borderId="97" xfId="0" applyNumberFormat="1" applyFont="1" applyFill="1" applyBorder="1" applyAlignment="1" applyProtection="1">
      <alignment horizontal="center"/>
      <protection hidden="1"/>
    </xf>
    <xf numFmtId="183" fontId="118" fillId="6" borderId="0" xfId="0" applyNumberFormat="1" applyFont="1" applyFill="1" applyProtection="1">
      <protection hidden="1"/>
    </xf>
    <xf numFmtId="183" fontId="118" fillId="6" borderId="97" xfId="0" applyNumberFormat="1" applyFont="1" applyFill="1" applyBorder="1" applyAlignment="1" applyProtection="1">
      <alignment horizontal="center"/>
      <protection hidden="1"/>
    </xf>
    <xf numFmtId="37" fontId="121" fillId="18" borderId="98" xfId="0" applyNumberFormat="1" applyFont="1" applyFill="1" applyBorder="1" applyAlignment="1" applyProtection="1">
      <alignment horizontal="center" vertical="center"/>
      <protection hidden="1"/>
    </xf>
    <xf numFmtId="1" fontId="119" fillId="22" borderId="98" xfId="0" applyNumberFormat="1" applyFont="1" applyFill="1" applyBorder="1" applyAlignment="1" applyProtection="1">
      <alignment horizontal="center"/>
      <protection locked="0" hidden="1"/>
    </xf>
    <xf numFmtId="0" fontId="102" fillId="20" borderId="78" xfId="0" applyFont="1" applyFill="1" applyBorder="1" applyAlignment="1" applyProtection="1">
      <alignment horizontal="right"/>
      <protection hidden="1"/>
    </xf>
    <xf numFmtId="0" fontId="96" fillId="20" borderId="79" xfId="0" applyFont="1" applyFill="1" applyBorder="1" applyProtection="1">
      <protection hidden="1"/>
    </xf>
    <xf numFmtId="2" fontId="102" fillId="20" borderId="80" xfId="0" applyNumberFormat="1" applyFont="1" applyFill="1" applyBorder="1" applyAlignment="1" applyProtection="1">
      <alignment horizontal="right" vertical="center"/>
      <protection hidden="1"/>
    </xf>
    <xf numFmtId="0" fontId="144" fillId="6" borderId="0" xfId="0" applyFont="1" applyFill="1" applyProtection="1">
      <protection hidden="1"/>
    </xf>
    <xf numFmtId="169" fontId="144" fillId="6" borderId="0" xfId="1" applyNumberFormat="1" applyFont="1" applyFill="1" applyBorder="1" applyProtection="1">
      <protection hidden="1"/>
    </xf>
    <xf numFmtId="169" fontId="140" fillId="18" borderId="0" xfId="1" applyNumberFormat="1" applyFont="1" applyFill="1" applyBorder="1" applyAlignment="1" applyProtection="1">
      <alignment vertical="center"/>
      <protection hidden="1"/>
    </xf>
    <xf numFmtId="172" fontId="140" fillId="18" borderId="0" xfId="0" applyNumberFormat="1" applyFont="1" applyFill="1" applyProtection="1">
      <protection hidden="1"/>
    </xf>
    <xf numFmtId="180" fontId="140" fillId="6" borderId="0" xfId="0" applyNumberFormat="1" applyFont="1" applyFill="1" applyAlignment="1" applyProtection="1">
      <alignment horizontal="center"/>
      <protection hidden="1"/>
    </xf>
    <xf numFmtId="180" fontId="140" fillId="18" borderId="0" xfId="0" applyNumberFormat="1" applyFont="1" applyFill="1" applyProtection="1">
      <protection hidden="1"/>
    </xf>
    <xf numFmtId="9" fontId="140" fillId="18" borderId="0" xfId="2" applyFont="1" applyFill="1" applyBorder="1" applyAlignment="1" applyProtection="1">
      <alignment horizontal="center"/>
      <protection hidden="1"/>
    </xf>
    <xf numFmtId="183" fontId="119" fillId="18" borderId="0" xfId="1" applyNumberFormat="1" applyFont="1" applyFill="1" applyBorder="1" applyAlignment="1" applyProtection="1">
      <alignment horizontal="center" vertical="center"/>
      <protection hidden="1"/>
    </xf>
    <xf numFmtId="183" fontId="119" fillId="6" borderId="0" xfId="1" applyNumberFormat="1" applyFont="1" applyFill="1" applyBorder="1" applyAlignment="1" applyProtection="1">
      <alignment horizontal="center" vertical="center"/>
      <protection hidden="1"/>
    </xf>
    <xf numFmtId="164" fontId="119" fillId="6" borderId="0" xfId="1" applyNumberFormat="1" applyFont="1" applyFill="1" applyBorder="1" applyAlignment="1" applyProtection="1">
      <alignment horizontal="center" vertical="center"/>
      <protection hidden="1"/>
    </xf>
    <xf numFmtId="164" fontId="120" fillId="18" borderId="0" xfId="1" applyNumberFormat="1" applyFont="1" applyFill="1" applyBorder="1" applyAlignment="1" applyProtection="1">
      <alignment horizontal="center" vertical="center" wrapText="1"/>
      <protection hidden="1"/>
    </xf>
    <xf numFmtId="164" fontId="120" fillId="6" borderId="0" xfId="1" applyNumberFormat="1" applyFont="1" applyFill="1" applyBorder="1" applyAlignment="1" applyProtection="1">
      <alignment horizontal="center" vertical="center" wrapText="1"/>
      <protection hidden="1"/>
    </xf>
    <xf numFmtId="183" fontId="119" fillId="0" borderId="0" xfId="1" applyNumberFormat="1" applyFont="1" applyFill="1" applyBorder="1" applyAlignment="1" applyProtection="1">
      <alignment horizontal="center" vertical="center"/>
      <protection hidden="1"/>
    </xf>
    <xf numFmtId="164" fontId="120" fillId="0" borderId="0" xfId="1" applyNumberFormat="1" applyFont="1" applyFill="1" applyBorder="1" applyAlignment="1" applyProtection="1">
      <alignment horizontal="center" vertical="center" wrapText="1"/>
      <protection hidden="1"/>
    </xf>
    <xf numFmtId="0" fontId="88" fillId="6" borderId="0" xfId="0" applyFont="1" applyFill="1" applyAlignment="1" applyProtection="1">
      <alignment horizontal="center"/>
      <protection hidden="1"/>
    </xf>
    <xf numFmtId="0" fontId="118" fillId="6" borderId="0" xfId="0" applyFont="1" applyFill="1" applyAlignment="1" applyProtection="1">
      <alignment horizontal="center"/>
      <protection hidden="1"/>
    </xf>
    <xf numFmtId="0" fontId="121" fillId="6" borderId="97" xfId="0" applyFont="1" applyFill="1" applyBorder="1" applyProtection="1">
      <protection hidden="1"/>
    </xf>
    <xf numFmtId="0" fontId="121" fillId="6" borderId="97" xfId="0" applyFont="1" applyFill="1" applyBorder="1" applyAlignment="1" applyProtection="1">
      <alignment vertical="center"/>
      <protection hidden="1"/>
    </xf>
    <xf numFmtId="0" fontId="140" fillId="6" borderId="0" xfId="0" applyFont="1" applyFill="1" applyProtection="1">
      <protection hidden="1"/>
    </xf>
    <xf numFmtId="0" fontId="140" fillId="18" borderId="98" xfId="0" applyFont="1" applyFill="1" applyBorder="1" applyAlignment="1" applyProtection="1">
      <alignment horizontal="center" vertical="center"/>
      <protection locked="0" hidden="1"/>
    </xf>
    <xf numFmtId="3" fontId="144" fillId="18" borderId="98" xfId="1" quotePrefix="1" applyNumberFormat="1" applyFont="1" applyFill="1" applyBorder="1" applyAlignment="1" applyProtection="1">
      <alignment horizontal="center" vertical="center"/>
      <protection hidden="1"/>
    </xf>
    <xf numFmtId="3" fontId="144" fillId="6" borderId="0" xfId="1" applyNumberFormat="1" applyFont="1" applyFill="1" applyBorder="1" applyAlignment="1" applyProtection="1">
      <alignment horizontal="center"/>
      <protection hidden="1"/>
    </xf>
    <xf numFmtId="3" fontId="144" fillId="18" borderId="98" xfId="1" applyNumberFormat="1" applyFont="1" applyFill="1" applyBorder="1" applyAlignment="1" applyProtection="1">
      <alignment horizontal="center" vertical="center"/>
      <protection hidden="1"/>
    </xf>
    <xf numFmtId="3" fontId="144" fillId="6" borderId="0" xfId="0" applyNumberFormat="1" applyFont="1" applyFill="1" applyAlignment="1" applyProtection="1">
      <alignment horizontal="center"/>
      <protection hidden="1"/>
    </xf>
    <xf numFmtId="3" fontId="144" fillId="6" borderId="0" xfId="1" applyNumberFormat="1" applyFont="1" applyFill="1" applyBorder="1" applyAlignment="1" applyProtection="1">
      <alignment horizontal="center" vertical="center"/>
      <protection hidden="1"/>
    </xf>
    <xf numFmtId="0" fontId="140" fillId="6" borderId="0" xfId="0" applyFont="1" applyFill="1" applyAlignment="1" applyProtection="1">
      <alignment vertical="center"/>
      <protection hidden="1"/>
    </xf>
    <xf numFmtId="0" fontId="144" fillId="6" borderId="0" xfId="0" applyFont="1" applyFill="1" applyAlignment="1" applyProtection="1">
      <alignment vertical="center"/>
      <protection hidden="1"/>
    </xf>
    <xf numFmtId="5" fontId="144" fillId="6" borderId="100" xfId="1" applyNumberFormat="1" applyFont="1" applyFill="1" applyBorder="1" applyAlignment="1" applyProtection="1">
      <alignment horizontal="center"/>
      <protection hidden="1"/>
    </xf>
    <xf numFmtId="0" fontId="140" fillId="6" borderId="0" xfId="0" applyFont="1" applyFill="1" applyAlignment="1" applyProtection="1">
      <alignment horizontal="right"/>
      <protection hidden="1"/>
    </xf>
    <xf numFmtId="0" fontId="146" fillId="18" borderId="98" xfId="0" applyFont="1" applyFill="1" applyBorder="1" applyAlignment="1" applyProtection="1">
      <alignment horizontal="center" vertical="center" wrapText="1"/>
      <protection locked="0" hidden="1"/>
    </xf>
    <xf numFmtId="5" fontId="144" fillId="18" borderId="98" xfId="1" applyNumberFormat="1" applyFont="1" applyFill="1" applyBorder="1" applyAlignment="1" applyProtection="1">
      <alignment horizontal="center" vertical="center"/>
      <protection locked="0" hidden="1"/>
    </xf>
    <xf numFmtId="0" fontId="146" fillId="0" borderId="0" xfId="0" applyFont="1" applyProtection="1">
      <protection hidden="1"/>
    </xf>
    <xf numFmtId="5" fontId="144" fillId="18" borderId="98" xfId="1" applyNumberFormat="1" applyFont="1" applyFill="1" applyBorder="1" applyAlignment="1" applyProtection="1">
      <alignment horizontal="center"/>
      <protection locked="0" hidden="1"/>
    </xf>
    <xf numFmtId="172" fontId="144" fillId="6" borderId="0" xfId="2" applyNumberFormat="1" applyFont="1" applyFill="1" applyBorder="1" applyAlignment="1" applyProtection="1">
      <alignment horizontal="right"/>
      <protection hidden="1"/>
    </xf>
    <xf numFmtId="1" fontId="144" fillId="6" borderId="0" xfId="2" applyNumberFormat="1" applyFont="1" applyFill="1" applyBorder="1" applyProtection="1">
      <protection hidden="1"/>
    </xf>
    <xf numFmtId="187" fontId="144" fillId="18" borderId="98" xfId="1" applyNumberFormat="1" applyFont="1" applyFill="1" applyBorder="1" applyAlignment="1" applyProtection="1">
      <alignment horizontal="center" vertical="center"/>
      <protection locked="0" hidden="1"/>
    </xf>
    <xf numFmtId="185" fontId="144" fillId="18" borderId="98" xfId="1" applyNumberFormat="1" applyFont="1" applyFill="1" applyBorder="1" applyAlignment="1" applyProtection="1">
      <alignment horizontal="center" vertical="center"/>
      <protection locked="0" hidden="1"/>
    </xf>
    <xf numFmtId="14" fontId="144" fillId="18" borderId="98" xfId="0" applyNumberFormat="1" applyFont="1" applyFill="1" applyBorder="1" applyAlignment="1" applyProtection="1">
      <alignment horizontal="center" vertical="center"/>
      <protection locked="0" hidden="1"/>
    </xf>
    <xf numFmtId="0" fontId="144" fillId="6" borderId="0" xfId="0" applyFont="1" applyFill="1" applyAlignment="1" applyProtection="1">
      <alignment horizontal="center"/>
      <protection hidden="1"/>
    </xf>
    <xf numFmtId="170" fontId="144" fillId="18" borderId="98" xfId="0" applyNumberFormat="1" applyFont="1" applyFill="1" applyBorder="1" applyAlignment="1" applyProtection="1">
      <alignment horizontal="center" vertical="center"/>
      <protection locked="0" hidden="1"/>
    </xf>
    <xf numFmtId="0" fontId="119" fillId="6" borderId="0" xfId="0" applyFont="1" applyFill="1" applyAlignment="1" applyProtection="1">
      <alignment horizontal="center"/>
      <protection hidden="1"/>
    </xf>
    <xf numFmtId="0" fontId="119" fillId="6" borderId="0" xfId="0" applyFont="1" applyFill="1" applyAlignment="1" applyProtection="1">
      <alignment horizontal="center" wrapText="1"/>
      <protection hidden="1"/>
    </xf>
    <xf numFmtId="4" fontId="86" fillId="0" borderId="0" xfId="0" applyNumberFormat="1" applyFont="1" applyAlignment="1">
      <alignment horizontal="center"/>
    </xf>
    <xf numFmtId="0" fontId="148" fillId="0" borderId="0" xfId="0" applyFont="1" applyAlignment="1" applyProtection="1">
      <alignment horizontal="right"/>
      <protection hidden="1"/>
    </xf>
    <xf numFmtId="0" fontId="120" fillId="0" borderId="0" xfId="0" applyFont="1" applyAlignment="1" applyProtection="1">
      <alignment horizontal="right"/>
      <protection hidden="1"/>
    </xf>
    <xf numFmtId="183" fontId="118" fillId="18" borderId="9" xfId="0" applyNumberFormat="1" applyFont="1" applyFill="1" applyBorder="1" applyAlignment="1" applyProtection="1">
      <alignment horizontal="center" vertical="center"/>
      <protection locked="0" hidden="1"/>
    </xf>
    <xf numFmtId="0" fontId="119" fillId="0" borderId="0" xfId="0" applyFont="1" applyAlignment="1" applyProtection="1">
      <alignment horizontal="center"/>
      <protection hidden="1"/>
    </xf>
    <xf numFmtId="5" fontId="119" fillId="6" borderId="9" xfId="0" applyNumberFormat="1" applyFont="1" applyFill="1" applyBorder="1" applyAlignment="1" applyProtection="1">
      <alignment horizontal="center" vertical="center"/>
      <protection hidden="1"/>
    </xf>
    <xf numFmtId="183" fontId="119" fillId="18" borderId="9" xfId="0" applyNumberFormat="1" applyFont="1" applyFill="1" applyBorder="1" applyAlignment="1" applyProtection="1">
      <alignment horizontal="center" vertical="center"/>
      <protection hidden="1"/>
    </xf>
    <xf numFmtId="0" fontId="142" fillId="0" borderId="0" xfId="0" applyFont="1" applyProtection="1">
      <protection hidden="1"/>
    </xf>
    <xf numFmtId="0" fontId="142" fillId="0" borderId="0" xfId="0" applyFont="1" applyAlignment="1" applyProtection="1">
      <alignment wrapText="1"/>
      <protection hidden="1"/>
    </xf>
    <xf numFmtId="0" fontId="151" fillId="0" borderId="0" xfId="0" applyFont="1" applyProtection="1">
      <protection hidden="1"/>
    </xf>
    <xf numFmtId="0" fontId="119" fillId="18" borderId="9" xfId="0" applyFont="1" applyFill="1" applyBorder="1" applyAlignment="1" applyProtection="1">
      <alignment horizontal="center" vertical="center"/>
      <protection locked="0" hidden="1"/>
    </xf>
    <xf numFmtId="0" fontId="121" fillId="18" borderId="9" xfId="0" applyFont="1" applyFill="1" applyBorder="1" applyAlignment="1" applyProtection="1">
      <alignment horizontal="center" vertical="center"/>
      <protection locked="0" hidden="1"/>
    </xf>
    <xf numFmtId="1" fontId="118" fillId="18" borderId="9" xfId="0" applyNumberFormat="1" applyFont="1" applyFill="1" applyBorder="1" applyAlignment="1" applyProtection="1">
      <alignment horizontal="center" vertical="center"/>
      <protection locked="0" hidden="1"/>
    </xf>
    <xf numFmtId="0" fontId="118" fillId="18" borderId="9" xfId="0" applyFont="1" applyFill="1" applyBorder="1" applyAlignment="1" applyProtection="1">
      <alignment horizontal="center" vertical="center"/>
      <protection locked="0" hidden="1"/>
    </xf>
    <xf numFmtId="10" fontId="118" fillId="18" borderId="9" xfId="0" applyNumberFormat="1" applyFont="1" applyFill="1" applyBorder="1" applyAlignment="1" applyProtection="1">
      <alignment horizontal="center" vertical="center"/>
      <protection locked="0" hidden="1"/>
    </xf>
    <xf numFmtId="185" fontId="121" fillId="18" borderId="9" xfId="1" applyNumberFormat="1" applyFont="1" applyFill="1" applyBorder="1" applyAlignment="1" applyProtection="1">
      <alignment horizontal="center" vertical="center"/>
      <protection locked="0" hidden="1"/>
    </xf>
    <xf numFmtId="14" fontId="118" fillId="18" borderId="9" xfId="0" applyNumberFormat="1" applyFont="1" applyFill="1" applyBorder="1" applyAlignment="1" applyProtection="1">
      <alignment horizontal="center" vertical="center"/>
      <protection locked="0" hidden="1"/>
    </xf>
    <xf numFmtId="0" fontId="148" fillId="18" borderId="9" xfId="0" applyFont="1" applyFill="1" applyBorder="1" applyAlignment="1" applyProtection="1">
      <alignment horizontal="center" vertical="center"/>
      <protection locked="0" hidden="1"/>
    </xf>
    <xf numFmtId="167" fontId="118" fillId="18" borderId="9" xfId="0" applyNumberFormat="1" applyFont="1" applyFill="1" applyBorder="1" applyAlignment="1" applyProtection="1">
      <alignment horizontal="center" vertical="center"/>
      <protection hidden="1"/>
    </xf>
    <xf numFmtId="0" fontId="132" fillId="25" borderId="97" xfId="0" applyFont="1" applyFill="1" applyBorder="1"/>
    <xf numFmtId="0" fontId="132" fillId="26" borderId="0" xfId="0" applyFont="1" applyFill="1"/>
    <xf numFmtId="0" fontId="0" fillId="26" borderId="0" xfId="0" applyFill="1" applyAlignment="1">
      <alignment horizontal="center"/>
    </xf>
    <xf numFmtId="191" fontId="0" fillId="26" borderId="0" xfId="0" applyNumberFormat="1" applyFill="1" applyAlignment="1">
      <alignment horizontal="center"/>
    </xf>
    <xf numFmtId="10" fontId="0" fillId="26" borderId="0" xfId="0" applyNumberFormat="1" applyFill="1" applyAlignment="1">
      <alignment horizontal="center"/>
    </xf>
    <xf numFmtId="0" fontId="142" fillId="18" borderId="98" xfId="1" applyNumberFormat="1" applyFont="1" applyFill="1" applyBorder="1" applyAlignment="1" applyProtection="1">
      <alignment horizontal="center" vertical="center"/>
      <protection hidden="1"/>
    </xf>
    <xf numFmtId="0" fontId="153" fillId="0" borderId="0" xfId="0" applyFont="1" applyProtection="1">
      <protection hidden="1"/>
    </xf>
    <xf numFmtId="165" fontId="154" fillId="20" borderId="0" xfId="0" applyNumberFormat="1" applyFont="1" applyFill="1" applyAlignment="1">
      <alignment horizontal="left" vertical="center"/>
    </xf>
    <xf numFmtId="165" fontId="154" fillId="24" borderId="0" xfId="0" applyNumberFormat="1" applyFont="1" applyFill="1" applyAlignment="1">
      <alignment horizontal="left" vertical="center"/>
    </xf>
    <xf numFmtId="165" fontId="154" fillId="20" borderId="0" xfId="0" applyNumberFormat="1" applyFont="1" applyFill="1" applyAlignment="1">
      <alignment vertical="center"/>
    </xf>
    <xf numFmtId="0" fontId="156" fillId="15" borderId="9" xfId="0" applyFont="1" applyFill="1" applyBorder="1" applyAlignment="1">
      <alignment horizontal="center"/>
    </xf>
    <xf numFmtId="0" fontId="156" fillId="15" borderId="9" xfId="0" applyFont="1" applyFill="1" applyBorder="1" applyAlignment="1">
      <alignment horizontal="center" wrapText="1"/>
    </xf>
    <xf numFmtId="0" fontId="156" fillId="24" borderId="9" xfId="0" applyFont="1" applyFill="1" applyBorder="1" applyAlignment="1">
      <alignment horizontal="center" wrapText="1"/>
    </xf>
    <xf numFmtId="0" fontId="156" fillId="24" borderId="9" xfId="0" applyFont="1" applyFill="1" applyBorder="1" applyAlignment="1">
      <alignment horizontal="center"/>
    </xf>
    <xf numFmtId="2" fontId="148" fillId="0" borderId="9" xfId="0" applyNumberFormat="1" applyFont="1" applyBorder="1" applyAlignment="1">
      <alignment horizontal="center" wrapText="1"/>
    </xf>
    <xf numFmtId="9" fontId="148" fillId="0" borderId="9" xfId="0" applyNumberFormat="1" applyFont="1" applyBorder="1" applyAlignment="1">
      <alignment horizontal="center" vertical="center"/>
    </xf>
    <xf numFmtId="9" fontId="157" fillId="0" borderId="9" xfId="0" applyNumberFormat="1" applyFont="1" applyBorder="1" applyAlignment="1">
      <alignment horizontal="center" vertical="center" wrapText="1"/>
    </xf>
    <xf numFmtId="9" fontId="148" fillId="0" borderId="9" xfId="0" applyNumberFormat="1" applyFont="1" applyBorder="1" applyAlignment="1">
      <alignment horizontal="center" vertical="center" wrapText="1"/>
    </xf>
    <xf numFmtId="9" fontId="157" fillId="0" borderId="9" xfId="0" applyNumberFormat="1" applyFont="1" applyBorder="1" applyAlignment="1">
      <alignment horizontal="center" vertical="center"/>
    </xf>
    <xf numFmtId="0" fontId="157" fillId="0" borderId="9" xfId="0" applyFont="1" applyBorder="1" applyAlignment="1">
      <alignment horizontal="center" vertical="center"/>
    </xf>
    <xf numFmtId="184" fontId="86" fillId="10" borderId="93" xfId="0" applyNumberFormat="1" applyFont="1" applyFill="1" applyBorder="1" applyAlignment="1">
      <alignment horizontal="center"/>
    </xf>
    <xf numFmtId="184" fontId="0" fillId="0" borderId="0" xfId="0" applyNumberFormat="1"/>
    <xf numFmtId="164" fontId="0" fillId="10" borderId="0" xfId="0" applyNumberFormat="1" applyFill="1"/>
    <xf numFmtId="0" fontId="0" fillId="0" borderId="0" xfId="0" applyAlignment="1">
      <alignment horizontal="center" vertical="top"/>
    </xf>
    <xf numFmtId="164" fontId="0" fillId="0" borderId="0" xfId="0" applyNumberFormat="1" applyAlignment="1">
      <alignment horizontal="center" vertical="top"/>
    </xf>
    <xf numFmtId="164" fontId="0" fillId="10" borderId="0" xfId="0" applyNumberFormat="1" applyFill="1" applyAlignment="1">
      <alignment horizontal="center"/>
    </xf>
    <xf numFmtId="180" fontId="102" fillId="6" borderId="0" xfId="0" applyNumberFormat="1" applyFont="1" applyFill="1" applyProtection="1">
      <protection hidden="1"/>
    </xf>
    <xf numFmtId="9" fontId="102" fillId="6" borderId="0" xfId="2" applyFont="1" applyFill="1" applyBorder="1" applyProtection="1">
      <protection hidden="1"/>
    </xf>
    <xf numFmtId="0" fontId="96" fillId="6" borderId="0" xfId="0" applyFont="1" applyFill="1" applyAlignment="1" applyProtection="1">
      <alignment horizontal="center" vertical="center"/>
      <protection hidden="1"/>
    </xf>
    <xf numFmtId="0" fontId="84" fillId="6" borderId="0" xfId="0" applyFont="1" applyFill="1" applyProtection="1">
      <protection hidden="1"/>
    </xf>
    <xf numFmtId="0" fontId="78" fillId="6" borderId="0" xfId="0" applyFont="1" applyFill="1" applyProtection="1">
      <protection hidden="1"/>
    </xf>
    <xf numFmtId="164" fontId="78" fillId="6" borderId="0" xfId="1" applyNumberFormat="1" applyFont="1" applyFill="1" applyBorder="1" applyProtection="1">
      <protection hidden="1"/>
    </xf>
    <xf numFmtId="164" fontId="78" fillId="6" borderId="0" xfId="0" applyNumberFormat="1" applyFont="1" applyFill="1" applyProtection="1">
      <protection hidden="1"/>
    </xf>
    <xf numFmtId="164" fontId="84" fillId="6" borderId="0" xfId="1" quotePrefix="1" applyNumberFormat="1" applyFont="1" applyFill="1" applyBorder="1" applyAlignment="1" applyProtection="1">
      <alignment horizontal="center" wrapText="1"/>
      <protection hidden="1"/>
    </xf>
    <xf numFmtId="0" fontId="84" fillId="6" borderId="0" xfId="0" applyFont="1" applyFill="1" applyAlignment="1" applyProtection="1">
      <alignment wrapText="1"/>
      <protection hidden="1"/>
    </xf>
    <xf numFmtId="164" fontId="78" fillId="6" borderId="0" xfId="1" applyNumberFormat="1" applyFont="1" applyFill="1" applyBorder="1" applyAlignment="1" applyProtection="1">
      <alignment horizontal="center" vertical="center"/>
      <protection hidden="1"/>
    </xf>
    <xf numFmtId="183" fontId="118" fillId="6" borderId="0" xfId="0" applyNumberFormat="1" applyFont="1" applyFill="1" applyAlignment="1" applyProtection="1">
      <alignment horizontal="center" vertical="center"/>
      <protection locked="0" hidden="1"/>
    </xf>
    <xf numFmtId="184" fontId="0" fillId="0" borderId="97" xfId="11" applyNumberFormat="1" applyFont="1" applyFill="1" applyBorder="1" applyAlignment="1" applyProtection="1">
      <protection hidden="1"/>
    </xf>
    <xf numFmtId="181" fontId="119" fillId="6" borderId="9" xfId="0" applyNumberFormat="1" applyFont="1" applyFill="1" applyBorder="1" applyAlignment="1" applyProtection="1">
      <alignment horizontal="center" vertical="center"/>
      <protection hidden="1"/>
    </xf>
    <xf numFmtId="194" fontId="119" fillId="18" borderId="9" xfId="0" applyNumberFormat="1" applyFont="1" applyFill="1" applyBorder="1" applyAlignment="1" applyProtection="1">
      <alignment horizontal="center" vertical="center"/>
      <protection hidden="1"/>
    </xf>
    <xf numFmtId="184" fontId="108" fillId="0" borderId="93" xfId="0" applyNumberFormat="1" applyFont="1" applyBorder="1" applyAlignment="1">
      <alignment vertical="center" wrapText="1"/>
    </xf>
    <xf numFmtId="1" fontId="121" fillId="18" borderId="98" xfId="0" applyNumberFormat="1" applyFont="1" applyFill="1" applyBorder="1" applyAlignment="1" applyProtection="1">
      <alignment horizontal="center" vertical="center"/>
      <protection hidden="1"/>
    </xf>
    <xf numFmtId="37" fontId="121" fillId="18" borderId="99" xfId="0" applyNumberFormat="1" applyFont="1" applyFill="1" applyBorder="1" applyAlignment="1" applyProtection="1">
      <alignment horizontal="center" vertical="center"/>
      <protection hidden="1"/>
    </xf>
    <xf numFmtId="1" fontId="119" fillId="22" borderId="124" xfId="0" applyNumberFormat="1" applyFont="1" applyFill="1" applyBorder="1" applyAlignment="1" applyProtection="1">
      <alignment horizontal="center"/>
      <protection locked="0" hidden="1"/>
    </xf>
    <xf numFmtId="1" fontId="119" fillId="22" borderId="125" xfId="0" applyNumberFormat="1" applyFont="1" applyFill="1" applyBorder="1" applyAlignment="1" applyProtection="1">
      <alignment horizontal="center"/>
      <protection locked="0" hidden="1"/>
    </xf>
    <xf numFmtId="1" fontId="119" fillId="22" borderId="97" xfId="0" applyNumberFormat="1" applyFont="1" applyFill="1" applyBorder="1" applyAlignment="1" applyProtection="1">
      <alignment horizontal="center"/>
      <protection hidden="1"/>
    </xf>
    <xf numFmtId="0" fontId="130" fillId="25" borderId="0" xfId="0" applyFont="1" applyFill="1" applyAlignment="1">
      <alignment horizontal="left" vertical="center"/>
    </xf>
    <xf numFmtId="0" fontId="159" fillId="0" borderId="97" xfId="0" applyFont="1" applyBorder="1"/>
    <xf numFmtId="195" fontId="160" fillId="28" borderId="9" xfId="0" applyNumberFormat="1" applyFont="1" applyFill="1" applyBorder="1" applyAlignment="1" applyProtection="1">
      <alignment horizontal="center"/>
      <protection hidden="1"/>
    </xf>
    <xf numFmtId="0" fontId="131" fillId="26" borderId="9" xfId="0" applyFont="1" applyFill="1" applyBorder="1" applyAlignment="1">
      <alignment horizontal="center" vertical="center" wrapText="1"/>
    </xf>
    <xf numFmtId="189" fontId="0" fillId="26" borderId="9" xfId="0" applyNumberFormat="1" applyFill="1" applyBorder="1" applyAlignment="1" applyProtection="1">
      <alignment horizontal="center"/>
      <protection locked="0"/>
    </xf>
    <xf numFmtId="10" fontId="132" fillId="26" borderId="9" xfId="0" applyNumberFormat="1" applyFont="1" applyFill="1" applyBorder="1" applyAlignment="1" applyProtection="1">
      <alignment horizontal="center"/>
      <protection locked="0"/>
    </xf>
    <xf numFmtId="189" fontId="0" fillId="0" borderId="9" xfId="0" applyNumberFormat="1" applyBorder="1" applyAlignment="1" applyProtection="1">
      <alignment horizontal="center"/>
      <protection locked="0"/>
    </xf>
    <xf numFmtId="190" fontId="132" fillId="25" borderId="9" xfId="1" applyNumberFormat="1" applyFont="1" applyFill="1" applyBorder="1" applyAlignment="1" applyProtection="1">
      <alignment horizontal="center"/>
      <protection hidden="1"/>
    </xf>
    <xf numFmtId="191" fontId="132" fillId="25" borderId="9" xfId="1" applyNumberFormat="1" applyFont="1" applyFill="1" applyBorder="1" applyAlignment="1" applyProtection="1">
      <alignment horizontal="center"/>
      <protection hidden="1"/>
    </xf>
    <xf numFmtId="10" fontId="132" fillId="25" borderId="9" xfId="2" applyNumberFormat="1" applyFont="1" applyFill="1" applyBorder="1" applyAlignment="1" applyProtection="1">
      <alignment horizontal="center"/>
      <protection hidden="1"/>
    </xf>
    <xf numFmtId="195" fontId="132" fillId="25" borderId="9" xfId="2" applyNumberFormat="1" applyFont="1" applyFill="1" applyBorder="1" applyAlignment="1" applyProtection="1">
      <alignment horizontal="center"/>
      <protection hidden="1"/>
    </xf>
    <xf numFmtId="44" fontId="132" fillId="25" borderId="9" xfId="11" applyFont="1" applyFill="1" applyBorder="1" applyAlignment="1" applyProtection="1">
      <alignment horizontal="center"/>
      <protection hidden="1"/>
    </xf>
    <xf numFmtId="0" fontId="0" fillId="27" borderId="9" xfId="0" applyFill="1" applyBorder="1"/>
    <xf numFmtId="192" fontId="132" fillId="29" borderId="97" xfId="0" applyNumberFormat="1" applyFont="1" applyFill="1" applyBorder="1" applyAlignment="1" applyProtection="1">
      <alignment horizontal="center"/>
      <protection hidden="1"/>
    </xf>
    <xf numFmtId="10" fontId="132" fillId="29" borderId="97" xfId="0" applyNumberFormat="1" applyFont="1" applyFill="1" applyBorder="1" applyAlignment="1" applyProtection="1">
      <alignment horizontal="center"/>
      <protection hidden="1"/>
    </xf>
    <xf numFmtId="191" fontId="132" fillId="29" borderId="97" xfId="0" applyNumberFormat="1" applyFont="1" applyFill="1" applyBorder="1" applyAlignment="1" applyProtection="1">
      <alignment horizontal="center"/>
      <protection hidden="1"/>
    </xf>
    <xf numFmtId="167" fontId="132" fillId="23" borderId="97" xfId="0" applyNumberFormat="1" applyFont="1" applyFill="1" applyBorder="1" applyAlignment="1" applyProtection="1">
      <alignment horizontal="center"/>
      <protection hidden="1"/>
    </xf>
    <xf numFmtId="167" fontId="132" fillId="23" borderId="0" xfId="0" applyNumberFormat="1" applyFont="1" applyFill="1" applyAlignment="1" applyProtection="1">
      <alignment horizontal="center"/>
      <protection hidden="1"/>
    </xf>
    <xf numFmtId="0" fontId="132" fillId="0" borderId="0" xfId="0" applyFont="1"/>
    <xf numFmtId="192" fontId="10" fillId="0" borderId="0" xfId="11" applyNumberFormat="1" applyFill="1" applyBorder="1" applyAlignment="1" applyProtection="1">
      <alignment horizontal="center" vertical="center"/>
      <protection hidden="1"/>
    </xf>
    <xf numFmtId="192" fontId="132" fillId="0" borderId="0" xfId="11" applyNumberFormat="1" applyFont="1" applyFill="1" applyBorder="1" applyAlignment="1" applyProtection="1">
      <alignment horizontal="center" vertical="center"/>
      <protection hidden="1"/>
    </xf>
    <xf numFmtId="193" fontId="132" fillId="0" borderId="0" xfId="0" applyNumberFormat="1" applyFont="1" applyProtection="1">
      <protection hidden="1"/>
    </xf>
    <xf numFmtId="192" fontId="10" fillId="0" borderId="9" xfId="11" applyNumberFormat="1" applyFill="1" applyBorder="1" applyAlignment="1" applyProtection="1">
      <alignment horizontal="left" vertical="center" wrapText="1"/>
      <protection hidden="1"/>
    </xf>
    <xf numFmtId="192" fontId="159" fillId="0" borderId="9" xfId="11" applyNumberFormat="1" applyFont="1" applyFill="1" applyBorder="1" applyAlignment="1" applyProtection="1">
      <alignment horizontal="left" vertical="center" wrapText="1"/>
      <protection hidden="1"/>
    </xf>
    <xf numFmtId="0" fontId="0" fillId="0" borderId="9" xfId="0" applyBorder="1" applyAlignment="1">
      <alignment horizontal="left" wrapText="1"/>
    </xf>
    <xf numFmtId="0" fontId="159" fillId="0" borderId="9" xfId="0" applyFont="1" applyBorder="1"/>
    <xf numFmtId="0" fontId="131" fillId="0" borderId="9" xfId="0" applyFont="1" applyBorder="1"/>
    <xf numFmtId="0" fontId="161" fillId="0" borderId="9" xfId="0" applyFont="1" applyBorder="1"/>
    <xf numFmtId="0" fontId="161" fillId="0" borderId="9" xfId="0" applyFont="1" applyBorder="1" applyAlignment="1">
      <alignment horizontal="center"/>
    </xf>
    <xf numFmtId="9" fontId="0" fillId="0" borderId="9" xfId="0" applyNumberFormat="1" applyBorder="1" applyAlignment="1" applyProtection="1">
      <alignment horizontal="center"/>
      <protection locked="0"/>
    </xf>
    <xf numFmtId="0" fontId="161" fillId="26" borderId="9" xfId="0" applyFont="1" applyFill="1" applyBorder="1" applyAlignment="1">
      <alignment horizontal="center" wrapText="1"/>
    </xf>
    <xf numFmtId="0" fontId="132" fillId="0" borderId="9" xfId="0" applyFont="1" applyBorder="1" applyProtection="1">
      <protection locked="0"/>
    </xf>
    <xf numFmtId="0" fontId="11" fillId="0" borderId="9" xfId="0" applyFont="1" applyBorder="1" applyProtection="1">
      <protection locked="0"/>
    </xf>
    <xf numFmtId="10" fontId="132" fillId="0" borderId="9" xfId="2" applyNumberFormat="1" applyFont="1" applyFill="1" applyBorder="1" applyAlignment="1" applyProtection="1">
      <alignment horizontal="center"/>
      <protection locked="0"/>
    </xf>
    <xf numFmtId="0" fontId="159" fillId="0" borderId="0" xfId="0" applyFont="1"/>
    <xf numFmtId="0" fontId="82" fillId="6" borderId="0" xfId="0" applyFont="1" applyFill="1" applyAlignment="1" applyProtection="1">
      <alignment horizontal="center" vertical="center"/>
      <protection hidden="1"/>
    </xf>
    <xf numFmtId="0" fontId="79" fillId="6" borderId="121" xfId="0" applyFont="1" applyFill="1" applyBorder="1" applyAlignment="1" applyProtection="1">
      <alignment vertical="center"/>
      <protection hidden="1"/>
    </xf>
    <xf numFmtId="0" fontId="94" fillId="18" borderId="0" xfId="0" applyFont="1" applyFill="1" applyAlignment="1" applyProtection="1">
      <alignment horizontal="center"/>
      <protection hidden="1"/>
    </xf>
    <xf numFmtId="183" fontId="81" fillId="18" borderId="0" xfId="0" applyNumberFormat="1" applyFont="1" applyFill="1" applyAlignment="1" applyProtection="1">
      <alignment horizontal="center"/>
      <protection hidden="1"/>
    </xf>
    <xf numFmtId="0" fontId="82" fillId="0" borderId="78" xfId="0" applyFont="1" applyBorder="1" applyAlignment="1" applyProtection="1">
      <alignment horizontal="center"/>
      <protection hidden="1"/>
    </xf>
    <xf numFmtId="0" fontId="82" fillId="0" borderId="79" xfId="0" applyFont="1" applyBorder="1" applyAlignment="1" applyProtection="1">
      <alignment horizontal="center"/>
      <protection hidden="1"/>
    </xf>
    <xf numFmtId="0" fontId="82" fillId="0" borderId="80" xfId="0" applyFont="1" applyBorder="1" applyAlignment="1" applyProtection="1">
      <alignment horizontal="center"/>
      <protection hidden="1"/>
    </xf>
    <xf numFmtId="0" fontId="99" fillId="18" borderId="0" xfId="0" applyFont="1" applyFill="1" applyAlignment="1" applyProtection="1">
      <alignment horizontal="center"/>
      <protection hidden="1"/>
    </xf>
    <xf numFmtId="183" fontId="77" fillId="18" borderId="0" xfId="0" applyNumberFormat="1" applyFont="1" applyFill="1" applyAlignment="1" applyProtection="1">
      <alignment horizontal="center"/>
      <protection hidden="1"/>
    </xf>
    <xf numFmtId="0" fontId="77" fillId="18" borderId="0" xfId="0" applyFont="1" applyFill="1" applyAlignment="1" applyProtection="1">
      <alignment horizontal="center"/>
      <protection hidden="1"/>
    </xf>
    <xf numFmtId="172" fontId="77" fillId="18" borderId="0" xfId="0" applyNumberFormat="1" applyFont="1" applyFill="1" applyAlignment="1" applyProtection="1">
      <alignment horizontal="center"/>
      <protection hidden="1"/>
    </xf>
    <xf numFmtId="0" fontId="88" fillId="18" borderId="12" xfId="0" applyFont="1" applyFill="1" applyBorder="1" applyAlignment="1" applyProtection="1">
      <alignment horizontal="center" vertical="center"/>
      <protection hidden="1"/>
    </xf>
    <xf numFmtId="0" fontId="88" fillId="18" borderId="27" xfId="0" applyFont="1" applyFill="1" applyBorder="1" applyAlignment="1" applyProtection="1">
      <alignment horizontal="center" vertical="center"/>
      <protection hidden="1"/>
    </xf>
    <xf numFmtId="0" fontId="88" fillId="18" borderId="13" xfId="0" applyFont="1" applyFill="1" applyBorder="1" applyAlignment="1" applyProtection="1">
      <alignment horizontal="center" vertical="center"/>
      <protection hidden="1"/>
    </xf>
    <xf numFmtId="0" fontId="88" fillId="0" borderId="0" xfId="0" applyFont="1" applyAlignment="1" applyProtection="1">
      <alignment horizontal="right"/>
      <protection hidden="1"/>
    </xf>
    <xf numFmtId="0" fontId="148" fillId="0" borderId="0" xfId="0" applyFont="1" applyAlignment="1" applyProtection="1">
      <alignment horizontal="right"/>
      <protection hidden="1"/>
    </xf>
    <xf numFmtId="0" fontId="138" fillId="20" borderId="9" xfId="0" applyFont="1" applyFill="1" applyBorder="1" applyAlignment="1" applyProtection="1">
      <alignment horizontal="center" vertical="center"/>
      <protection hidden="1"/>
    </xf>
    <xf numFmtId="0" fontId="138" fillId="20" borderId="12" xfId="0" applyFont="1" applyFill="1" applyBorder="1" applyAlignment="1" applyProtection="1">
      <alignment horizontal="center" vertical="center"/>
      <protection hidden="1"/>
    </xf>
    <xf numFmtId="0" fontId="138" fillId="20" borderId="27" xfId="0" applyFont="1" applyFill="1" applyBorder="1" applyAlignment="1" applyProtection="1">
      <alignment horizontal="center" vertical="center"/>
      <protection hidden="1"/>
    </xf>
    <xf numFmtId="0" fontId="138" fillId="20" borderId="13" xfId="0" applyFont="1" applyFill="1" applyBorder="1" applyAlignment="1" applyProtection="1">
      <alignment horizontal="center" vertical="center"/>
      <protection hidden="1"/>
    </xf>
    <xf numFmtId="0" fontId="88" fillId="6" borderId="0" xfId="0" applyFont="1" applyFill="1" applyAlignment="1" applyProtection="1">
      <alignment horizontal="right"/>
      <protection hidden="1"/>
    </xf>
    <xf numFmtId="0" fontId="152" fillId="0" borderId="0" xfId="0" applyFont="1" applyAlignment="1" applyProtection="1">
      <alignment horizontal="left"/>
      <protection hidden="1"/>
    </xf>
    <xf numFmtId="0" fontId="142" fillId="0" borderId="9" xfId="0" applyFont="1" applyBorder="1" applyAlignment="1" applyProtection="1">
      <alignment horizontal="left" indent="2"/>
      <protection hidden="1"/>
    </xf>
    <xf numFmtId="0" fontId="120" fillId="0" borderId="9" xfId="0" applyFont="1" applyBorder="1" applyAlignment="1" applyProtection="1">
      <alignment horizontal="right"/>
      <protection hidden="1"/>
    </xf>
    <xf numFmtId="0" fontId="142" fillId="0" borderId="12" xfId="0" applyFont="1" applyBorder="1" applyAlignment="1" applyProtection="1">
      <alignment horizontal="left"/>
      <protection hidden="1"/>
    </xf>
    <xf numFmtId="0" fontId="142" fillId="0" borderId="27" xfId="0" applyFont="1" applyBorder="1" applyAlignment="1" applyProtection="1">
      <alignment horizontal="left"/>
      <protection hidden="1"/>
    </xf>
    <xf numFmtId="0" fontId="142" fillId="0" borderId="13" xfId="0" applyFont="1" applyBorder="1" applyAlignment="1" applyProtection="1">
      <alignment horizontal="left"/>
      <protection hidden="1"/>
    </xf>
    <xf numFmtId="0" fontId="142" fillId="0" borderId="12" xfId="0" applyFont="1" applyBorder="1" applyAlignment="1" applyProtection="1">
      <alignment horizontal="left" indent="2"/>
      <protection hidden="1"/>
    </xf>
    <xf numFmtId="0" fontId="142" fillId="0" borderId="27" xfId="0" applyFont="1" applyBorder="1" applyAlignment="1" applyProtection="1">
      <alignment horizontal="left" indent="2"/>
      <protection hidden="1"/>
    </xf>
    <xf numFmtId="0" fontId="142" fillId="0" borderId="13" xfId="0" applyFont="1" applyBorder="1" applyAlignment="1" applyProtection="1">
      <alignment horizontal="left" indent="2"/>
      <protection hidden="1"/>
    </xf>
    <xf numFmtId="0" fontId="149" fillId="0" borderId="12" xfId="0" applyFont="1" applyBorder="1" applyAlignment="1" applyProtection="1">
      <alignment horizontal="left" indent="2"/>
      <protection hidden="1"/>
    </xf>
    <xf numFmtId="0" fontId="149" fillId="0" borderId="27" xfId="0" applyFont="1" applyBorder="1" applyAlignment="1" applyProtection="1">
      <alignment horizontal="left" indent="2"/>
      <protection hidden="1"/>
    </xf>
    <xf numFmtId="0" fontId="149" fillId="0" borderId="13" xfId="0" applyFont="1" applyBorder="1" applyAlignment="1" applyProtection="1">
      <alignment horizontal="left" indent="2"/>
      <protection hidden="1"/>
    </xf>
    <xf numFmtId="0" fontId="120" fillId="0" borderId="12" xfId="0" applyFont="1" applyBorder="1" applyAlignment="1" applyProtection="1">
      <alignment horizontal="right"/>
      <protection hidden="1"/>
    </xf>
    <xf numFmtId="0" fontId="120" fillId="0" borderId="27" xfId="0" applyFont="1" applyBorder="1" applyAlignment="1" applyProtection="1">
      <alignment horizontal="right"/>
      <protection hidden="1"/>
    </xf>
    <xf numFmtId="0" fontId="120" fillId="0" borderId="13" xfId="0" applyFont="1" applyBorder="1" applyAlignment="1" applyProtection="1">
      <alignment horizontal="right"/>
      <protection hidden="1"/>
    </xf>
    <xf numFmtId="0" fontId="11" fillId="0" borderId="97" xfId="0" applyFont="1" applyBorder="1" applyAlignment="1">
      <alignment horizontal="center"/>
    </xf>
    <xf numFmtId="0" fontId="110" fillId="0" borderId="101" xfId="0" applyFont="1" applyBorder="1" applyAlignment="1">
      <alignment horizontal="center" vertical="center" wrapText="1"/>
    </xf>
    <xf numFmtId="0" fontId="110" fillId="0" borderId="102" xfId="0" applyFont="1" applyBorder="1" applyAlignment="1">
      <alignment horizontal="center" vertical="center" wrapText="1"/>
    </xf>
    <xf numFmtId="0" fontId="110" fillId="0" borderId="103" xfId="0" applyFont="1" applyBorder="1" applyAlignment="1">
      <alignment horizontal="center" vertical="center" wrapText="1"/>
    </xf>
    <xf numFmtId="0" fontId="0" fillId="0" borderId="104" xfId="0" applyBorder="1" applyAlignment="1">
      <alignment horizontal="center"/>
    </xf>
    <xf numFmtId="0" fontId="0" fillId="0" borderId="0" xfId="0" applyAlignment="1">
      <alignment horizontal="center"/>
    </xf>
    <xf numFmtId="0" fontId="110" fillId="0" borderId="101" xfId="0" applyFont="1" applyBorder="1" applyAlignment="1">
      <alignment horizontal="center" wrapText="1"/>
    </xf>
    <xf numFmtId="0" fontId="110" fillId="0" borderId="102" xfId="0" applyFont="1" applyBorder="1" applyAlignment="1">
      <alignment horizontal="center" wrapText="1"/>
    </xf>
    <xf numFmtId="0" fontId="110" fillId="0" borderId="103" xfId="0" applyFont="1" applyBorder="1" applyAlignment="1">
      <alignment horizontal="center" wrapText="1"/>
    </xf>
    <xf numFmtId="0" fontId="104" fillId="0" borderId="101" xfId="0" applyFont="1" applyBorder="1" applyAlignment="1">
      <alignment horizontal="center" vertical="center" wrapText="1"/>
    </xf>
    <xf numFmtId="0" fontId="104" fillId="0" borderId="102" xfId="0" applyFont="1" applyBorder="1" applyAlignment="1">
      <alignment horizontal="center" vertical="center" wrapText="1"/>
    </xf>
    <xf numFmtId="0" fontId="104" fillId="0" borderId="103" xfId="0" applyFont="1" applyBorder="1" applyAlignment="1">
      <alignment horizontal="center" vertical="center" wrapText="1"/>
    </xf>
    <xf numFmtId="164" fontId="84" fillId="6" borderId="0" xfId="1" quotePrefix="1" applyNumberFormat="1" applyFont="1" applyFill="1" applyBorder="1" applyAlignment="1" applyProtection="1">
      <alignment horizontal="center" vertical="center" wrapText="1"/>
      <protection hidden="1"/>
    </xf>
    <xf numFmtId="0" fontId="84" fillId="6" borderId="0" xfId="0" applyFont="1" applyFill="1" applyAlignment="1" applyProtection="1">
      <alignment horizontal="center" vertical="center" wrapText="1"/>
      <protection hidden="1"/>
    </xf>
    <xf numFmtId="0" fontId="78" fillId="6" borderId="0" xfId="0" applyFont="1" applyFill="1" applyAlignment="1" applyProtection="1">
      <alignment vertical="center"/>
      <protection hidden="1"/>
    </xf>
    <xf numFmtId="0" fontId="84" fillId="6" borderId="0" xfId="0" applyFont="1" applyFill="1" applyAlignment="1" applyProtection="1">
      <alignment vertical="center"/>
      <protection hidden="1"/>
    </xf>
    <xf numFmtId="0" fontId="128" fillId="6" borderId="0" xfId="0" applyFont="1" applyFill="1" applyAlignment="1" applyProtection="1">
      <alignment horizontal="center" vertical="center" wrapText="1"/>
      <protection hidden="1"/>
    </xf>
    <xf numFmtId="0" fontId="129" fillId="6" borderId="0" xfId="0" applyFont="1" applyFill="1" applyAlignment="1" applyProtection="1">
      <alignment horizontal="center" vertical="center"/>
      <protection hidden="1"/>
    </xf>
    <xf numFmtId="0" fontId="129" fillId="6" borderId="0" xfId="0" applyFont="1" applyFill="1" applyProtection="1">
      <protection hidden="1"/>
    </xf>
    <xf numFmtId="0" fontId="128" fillId="6" borderId="0" xfId="0" applyFont="1" applyFill="1" applyAlignment="1" applyProtection="1">
      <alignment vertical="top" wrapText="1"/>
      <protection hidden="1"/>
    </xf>
    <xf numFmtId="0" fontId="129" fillId="6" borderId="0" xfId="0" applyFont="1" applyFill="1" applyAlignment="1" applyProtection="1">
      <alignment vertical="top"/>
      <protection hidden="1"/>
    </xf>
    <xf numFmtId="0" fontId="128" fillId="6" borderId="0" xfId="0" applyFont="1" applyFill="1" applyAlignment="1" applyProtection="1">
      <alignment horizontal="center" vertical="center"/>
      <protection hidden="1"/>
    </xf>
    <xf numFmtId="0" fontId="84" fillId="6" borderId="0" xfId="0" applyFont="1" applyFill="1" applyAlignment="1" applyProtection="1">
      <alignment horizontal="center" vertical="center"/>
      <protection hidden="1"/>
    </xf>
    <xf numFmtId="167" fontId="81" fillId="0" borderId="0" xfId="0" applyNumberFormat="1" applyFont="1" applyAlignment="1" applyProtection="1">
      <alignment horizontal="center" vertical="center"/>
      <protection hidden="1"/>
    </xf>
    <xf numFmtId="0" fontId="94" fillId="0" borderId="0" xfId="0" applyFont="1" applyAlignment="1" applyProtection="1">
      <alignment horizontal="center"/>
      <protection hidden="1"/>
    </xf>
    <xf numFmtId="0" fontId="95" fillId="6" borderId="0" xfId="0" applyFont="1" applyFill="1" applyAlignment="1" applyProtection="1">
      <alignment horizontal="center"/>
      <protection hidden="1"/>
    </xf>
    <xf numFmtId="180" fontId="96" fillId="6" borderId="0" xfId="0" applyNumberFormat="1" applyFont="1" applyFill="1" applyAlignment="1" applyProtection="1">
      <alignment horizontal="left" vertical="center"/>
      <protection hidden="1"/>
    </xf>
    <xf numFmtId="0" fontId="141" fillId="0" borderId="117" xfId="0" applyFont="1" applyBorder="1" applyAlignment="1" applyProtection="1">
      <alignment horizontal="center" vertical="center" wrapText="1"/>
      <protection hidden="1"/>
    </xf>
    <xf numFmtId="0" fontId="97" fillId="6" borderId="0" xfId="0" applyFont="1" applyFill="1" applyAlignment="1" applyProtection="1">
      <alignment horizontal="left"/>
      <protection hidden="1"/>
    </xf>
    <xf numFmtId="0" fontId="77" fillId="6" borderId="0" xfId="0" applyFont="1" applyFill="1" applyAlignment="1" applyProtection="1">
      <alignment horizontal="center"/>
      <protection hidden="1"/>
    </xf>
    <xf numFmtId="0" fontId="119" fillId="18" borderId="120" xfId="0" applyFont="1" applyFill="1" applyBorder="1" applyAlignment="1" applyProtection="1">
      <alignment horizontal="center"/>
      <protection hidden="1"/>
    </xf>
    <xf numFmtId="167" fontId="88" fillId="18" borderId="120" xfId="0" applyNumberFormat="1" applyFont="1" applyFill="1" applyBorder="1" applyAlignment="1" applyProtection="1">
      <alignment horizontal="center" vertical="center"/>
      <protection hidden="1"/>
    </xf>
    <xf numFmtId="167" fontId="88" fillId="18" borderId="123" xfId="0" applyNumberFormat="1" applyFont="1" applyFill="1" applyBorder="1" applyAlignment="1" applyProtection="1">
      <alignment horizontal="center" vertical="center"/>
      <protection hidden="1"/>
    </xf>
    <xf numFmtId="0" fontId="144" fillId="0" borderId="0" xfId="0" applyFont="1" applyAlignment="1" applyProtection="1">
      <alignment horizontal="right" wrapText="1"/>
      <protection hidden="1"/>
    </xf>
    <xf numFmtId="0" fontId="119" fillId="6" borderId="0" xfId="0" applyFont="1" applyFill="1" applyAlignment="1" applyProtection="1">
      <alignment horizontal="right" vertical="center"/>
      <protection hidden="1"/>
    </xf>
    <xf numFmtId="0" fontId="93" fillId="6" borderId="0" xfId="0" applyFont="1" applyFill="1" applyAlignment="1" applyProtection="1">
      <alignment horizontal="right" vertical="center"/>
      <protection hidden="1"/>
    </xf>
    <xf numFmtId="0" fontId="140" fillId="6" borderId="0" xfId="0" applyFont="1" applyFill="1" applyAlignment="1" applyProtection="1">
      <alignment horizontal="left"/>
      <protection hidden="1"/>
    </xf>
    <xf numFmtId="0" fontId="144" fillId="6" borderId="0" xfId="0" applyFont="1" applyFill="1" applyAlignment="1" applyProtection="1">
      <alignment horizontal="left"/>
      <protection hidden="1"/>
    </xf>
    <xf numFmtId="0" fontId="102" fillId="6" borderId="0" xfId="0" applyFont="1" applyFill="1" applyAlignment="1" applyProtection="1">
      <alignment horizontal="right" vertical="center" wrapText="1"/>
      <protection hidden="1"/>
    </xf>
    <xf numFmtId="169" fontId="102" fillId="6" borderId="0" xfId="1" applyNumberFormat="1" applyFont="1" applyFill="1" applyBorder="1" applyAlignment="1" applyProtection="1">
      <alignment horizontal="center" vertical="center"/>
      <protection hidden="1"/>
    </xf>
    <xf numFmtId="5" fontId="92" fillId="18" borderId="99" xfId="1" applyNumberFormat="1" applyFont="1" applyFill="1" applyBorder="1" applyAlignment="1" applyProtection="1">
      <alignment horizontal="center"/>
      <protection locked="0" hidden="1"/>
    </xf>
    <xf numFmtId="5" fontId="92" fillId="18" borderId="115" xfId="1" applyNumberFormat="1" applyFont="1" applyFill="1" applyBorder="1" applyAlignment="1" applyProtection="1">
      <alignment horizontal="center"/>
      <protection locked="0" hidden="1"/>
    </xf>
    <xf numFmtId="0" fontId="144" fillId="6" borderId="0" xfId="0" applyFont="1" applyFill="1" applyProtection="1">
      <protection hidden="1"/>
    </xf>
    <xf numFmtId="0" fontId="140" fillId="6" borderId="0" xfId="0" applyFont="1" applyFill="1" applyProtection="1">
      <protection hidden="1"/>
    </xf>
    <xf numFmtId="0" fontId="144" fillId="6" borderId="0" xfId="0" applyFont="1" applyFill="1" applyAlignment="1" applyProtection="1">
      <alignment wrapText="1"/>
      <protection hidden="1"/>
    </xf>
    <xf numFmtId="0" fontId="121" fillId="6" borderId="97" xfId="0" applyFont="1" applyFill="1" applyBorder="1" applyAlignment="1" applyProtection="1">
      <alignment horizontal="center"/>
      <protection hidden="1"/>
    </xf>
    <xf numFmtId="0" fontId="143" fillId="0" borderId="117" xfId="0" applyFont="1" applyBorder="1" applyAlignment="1" applyProtection="1">
      <alignment horizontal="center"/>
      <protection hidden="1"/>
    </xf>
    <xf numFmtId="0" fontId="140" fillId="6" borderId="0" xfId="0" applyFont="1" applyFill="1" applyAlignment="1" applyProtection="1">
      <alignment vertical="center"/>
      <protection hidden="1"/>
    </xf>
    <xf numFmtId="0" fontId="144" fillId="18" borderId="99" xfId="0" applyFont="1" applyFill="1" applyBorder="1" applyAlignment="1" applyProtection="1">
      <alignment horizontal="center" vertical="center"/>
      <protection locked="0" hidden="1"/>
    </xf>
    <xf numFmtId="0" fontId="144" fillId="18" borderId="98" xfId="0" applyFont="1" applyFill="1" applyBorder="1" applyAlignment="1" applyProtection="1">
      <alignment horizontal="center" vertical="center"/>
      <protection locked="0" hidden="1"/>
    </xf>
    <xf numFmtId="0" fontId="140" fillId="6" borderId="0" xfId="0" applyFont="1" applyFill="1" applyAlignment="1" applyProtection="1">
      <alignment horizontal="left" vertical="center"/>
      <protection hidden="1"/>
    </xf>
    <xf numFmtId="10" fontId="144" fillId="18" borderId="99" xfId="0" applyNumberFormat="1" applyFont="1" applyFill="1" applyBorder="1" applyAlignment="1" applyProtection="1">
      <alignment horizontal="center" vertical="center"/>
      <protection locked="0" hidden="1"/>
    </xf>
    <xf numFmtId="10" fontId="144" fillId="18" borderId="98" xfId="0" applyNumberFormat="1" applyFont="1" applyFill="1" applyBorder="1" applyAlignment="1" applyProtection="1">
      <alignment horizontal="center" vertical="center"/>
      <protection locked="0" hidden="1"/>
    </xf>
    <xf numFmtId="0" fontId="140" fillId="6" borderId="0" xfId="0" applyFont="1" applyFill="1" applyAlignment="1" applyProtection="1">
      <alignment horizontal="center"/>
      <protection hidden="1"/>
    </xf>
    <xf numFmtId="0" fontId="140" fillId="6" borderId="116" xfId="0" applyFont="1" applyFill="1" applyBorder="1" applyAlignment="1" applyProtection="1">
      <alignment horizontal="center"/>
      <protection hidden="1"/>
    </xf>
    <xf numFmtId="0" fontId="147" fillId="6" borderId="0" xfId="0" applyFont="1" applyFill="1" applyAlignment="1" applyProtection="1">
      <alignment vertical="top" wrapText="1"/>
      <protection hidden="1"/>
    </xf>
    <xf numFmtId="0" fontId="139" fillId="0" borderId="0" xfId="0" applyFont="1" applyAlignment="1" applyProtection="1">
      <alignment horizontal="center" vertical="top"/>
      <protection hidden="1"/>
    </xf>
    <xf numFmtId="0" fontId="118" fillId="6" borderId="97" xfId="0" applyFont="1" applyFill="1" applyBorder="1" applyAlignment="1" applyProtection="1">
      <alignment horizontal="center"/>
      <protection hidden="1"/>
    </xf>
    <xf numFmtId="183" fontId="118" fillId="6" borderId="97" xfId="0" applyNumberFormat="1" applyFont="1" applyFill="1" applyBorder="1" applyAlignment="1" applyProtection="1">
      <alignment horizontal="center" vertical="center"/>
      <protection hidden="1"/>
    </xf>
    <xf numFmtId="183" fontId="118" fillId="0" borderId="97" xfId="0" applyNumberFormat="1" applyFont="1" applyBorder="1" applyAlignment="1" applyProtection="1">
      <alignment horizontal="center" vertical="center"/>
      <protection hidden="1"/>
    </xf>
    <xf numFmtId="0" fontId="99" fillId="6" borderId="0" xfId="0" applyFont="1" applyFill="1" applyAlignment="1" applyProtection="1">
      <alignment horizontal="center"/>
      <protection hidden="1"/>
    </xf>
    <xf numFmtId="0" fontId="119" fillId="18" borderId="97" xfId="0" applyFont="1" applyFill="1" applyBorder="1" applyAlignment="1" applyProtection="1">
      <alignment horizontal="center"/>
      <protection hidden="1"/>
    </xf>
    <xf numFmtId="183" fontId="88" fillId="18" borderId="97" xfId="0" applyNumberFormat="1" applyFont="1" applyFill="1" applyBorder="1" applyAlignment="1" applyProtection="1">
      <alignment horizontal="center" vertical="center"/>
      <protection hidden="1"/>
    </xf>
    <xf numFmtId="1" fontId="118" fillId="6" borderId="97" xfId="0" applyNumberFormat="1" applyFont="1" applyFill="1" applyBorder="1" applyAlignment="1" applyProtection="1">
      <alignment horizontal="center" vertical="center"/>
      <protection hidden="1"/>
    </xf>
    <xf numFmtId="183" fontId="77" fillId="6" borderId="0" xfId="0" applyNumberFormat="1" applyFont="1" applyFill="1" applyAlignment="1" applyProtection="1">
      <alignment horizontal="center" vertical="center"/>
      <protection hidden="1"/>
    </xf>
    <xf numFmtId="0" fontId="11" fillId="0" borderId="0" xfId="0" applyFont="1" applyAlignment="1">
      <alignment horizontal="center" vertical="center" textRotation="90"/>
    </xf>
    <xf numFmtId="0" fontId="0" fillId="0" borderId="0" xfId="0" applyAlignment="1">
      <alignment horizontal="center" vertical="center" textRotation="90"/>
    </xf>
    <xf numFmtId="0" fontId="0" fillId="0" borderId="0" xfId="0"/>
    <xf numFmtId="0" fontId="11" fillId="0" borderId="21" xfId="0" applyFont="1" applyBorder="1" applyAlignment="1" applyProtection="1">
      <alignment horizontal="center" vertical="center"/>
      <protection hidden="1"/>
    </xf>
    <xf numFmtId="0" fontId="11" fillId="0" borderId="22" xfId="0" applyFont="1" applyBorder="1" applyAlignment="1" applyProtection="1">
      <alignment horizontal="center" vertical="center"/>
      <protection hidden="1"/>
    </xf>
    <xf numFmtId="0" fontId="11" fillId="0" borderId="19" xfId="0" applyFont="1" applyBorder="1" applyAlignment="1" applyProtection="1">
      <alignment horizontal="center" vertical="center"/>
      <protection hidden="1"/>
    </xf>
    <xf numFmtId="0" fontId="11" fillId="0" borderId="20" xfId="0" applyFont="1" applyBorder="1" applyAlignment="1" applyProtection="1">
      <alignment horizontal="center" vertical="center"/>
      <protection hidden="1"/>
    </xf>
    <xf numFmtId="0" fontId="11" fillId="0" borderId="118" xfId="0" applyFont="1" applyBorder="1" applyAlignment="1" applyProtection="1">
      <alignment horizontal="center" vertical="center"/>
      <protection hidden="1"/>
    </xf>
    <xf numFmtId="0" fontId="11" fillId="0" borderId="85" xfId="0" applyFont="1" applyBorder="1" applyAlignment="1" applyProtection="1">
      <alignment horizontal="center" vertical="center"/>
      <protection hidden="1"/>
    </xf>
    <xf numFmtId="184" fontId="0" fillId="0" borderId="119" xfId="0" applyNumberFormat="1" applyBorder="1" applyAlignment="1" applyProtection="1">
      <alignment horizontal="center" vertical="center"/>
      <protection locked="0" hidden="1"/>
    </xf>
    <xf numFmtId="184" fontId="0" fillId="0" borderId="82" xfId="0" applyNumberFormat="1" applyBorder="1" applyAlignment="1" applyProtection="1">
      <alignment horizontal="center" vertical="center"/>
      <protection locked="0" hidden="1"/>
    </xf>
    <xf numFmtId="184" fontId="0" fillId="0" borderId="82" xfId="0" applyNumberFormat="1" applyBorder="1" applyAlignment="1" applyProtection="1">
      <alignment horizontal="center" vertical="center"/>
      <protection hidden="1"/>
    </xf>
    <xf numFmtId="184" fontId="0" fillId="0" borderId="20" xfId="0" applyNumberFormat="1" applyBorder="1" applyAlignment="1" applyProtection="1">
      <alignment horizontal="center" vertical="center"/>
      <protection hidden="1"/>
    </xf>
    <xf numFmtId="184" fontId="0" fillId="0" borderId="19" xfId="0" applyNumberFormat="1" applyBorder="1" applyAlignment="1" applyProtection="1">
      <alignment horizontal="center" vertical="center"/>
      <protection locked="0" hidden="1"/>
    </xf>
    <xf numFmtId="0" fontId="11" fillId="0" borderId="28" xfId="0" applyFont="1" applyBorder="1" applyAlignment="1" applyProtection="1">
      <alignment horizontal="center" vertical="center"/>
      <protection hidden="1"/>
    </xf>
    <xf numFmtId="0" fontId="11" fillId="0" borderId="29" xfId="0" applyFont="1" applyBorder="1" applyAlignment="1" applyProtection="1">
      <alignment horizontal="center" vertical="center"/>
      <protection hidden="1"/>
    </xf>
    <xf numFmtId="0" fontId="11" fillId="18" borderId="19" xfId="0" applyFont="1" applyFill="1" applyBorder="1" applyAlignment="1" applyProtection="1">
      <alignment horizontal="right" vertical="center"/>
      <protection hidden="1"/>
    </xf>
    <xf numFmtId="0" fontId="11" fillId="18" borderId="82" xfId="0" applyFont="1" applyFill="1" applyBorder="1" applyAlignment="1" applyProtection="1">
      <alignment horizontal="right" vertical="center"/>
      <protection hidden="1"/>
    </xf>
    <xf numFmtId="0" fontId="11" fillId="18" borderId="20" xfId="0" applyFont="1" applyFill="1" applyBorder="1" applyAlignment="1" applyProtection="1">
      <alignment horizontal="right" vertical="center"/>
      <protection hidden="1"/>
    </xf>
    <xf numFmtId="0" fontId="11" fillId="18" borderId="25" xfId="0" applyFont="1" applyFill="1" applyBorder="1" applyAlignment="1" applyProtection="1">
      <alignment horizontal="center" vertical="center"/>
      <protection hidden="1"/>
    </xf>
    <xf numFmtId="0" fontId="11" fillId="18" borderId="89" xfId="0" applyFont="1" applyFill="1" applyBorder="1" applyAlignment="1" applyProtection="1">
      <alignment horizontal="center" vertical="center"/>
      <protection hidden="1"/>
    </xf>
    <xf numFmtId="0" fontId="0" fillId="0" borderId="21" xfId="0"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23" xfId="0" applyBorder="1" applyAlignment="1" applyProtection="1">
      <alignment horizontal="center" vertical="center"/>
      <protection hidden="1"/>
    </xf>
    <xf numFmtId="0" fontId="0" fillId="0" borderId="81" xfId="0" applyBorder="1" applyAlignment="1" applyProtection="1">
      <alignment horizontal="center" vertical="center"/>
      <protection hidden="1"/>
    </xf>
    <xf numFmtId="0" fontId="11" fillId="18" borderId="21" xfId="0" applyFont="1" applyFill="1" applyBorder="1" applyAlignment="1" applyProtection="1">
      <alignment horizontal="right" vertical="center"/>
      <protection hidden="1"/>
    </xf>
    <xf numFmtId="0" fontId="11" fillId="18" borderId="85" xfId="0" applyFont="1" applyFill="1" applyBorder="1" applyAlignment="1" applyProtection="1">
      <alignment horizontal="right" vertical="center"/>
      <protection hidden="1"/>
    </xf>
    <xf numFmtId="0" fontId="11" fillId="18" borderId="22" xfId="0" applyFont="1" applyFill="1" applyBorder="1" applyAlignment="1" applyProtection="1">
      <alignment horizontal="right" vertical="center"/>
      <protection hidden="1"/>
    </xf>
    <xf numFmtId="0" fontId="91" fillId="5" borderId="78" xfId="0" applyFont="1" applyFill="1" applyBorder="1" applyAlignment="1" applyProtection="1">
      <alignment horizontal="center" vertical="center"/>
      <protection hidden="1"/>
    </xf>
    <xf numFmtId="0" fontId="91" fillId="5" borderId="79" xfId="0" applyFont="1" applyFill="1" applyBorder="1" applyAlignment="1" applyProtection="1">
      <alignment horizontal="center" vertical="center"/>
      <protection hidden="1"/>
    </xf>
    <xf numFmtId="0" fontId="91" fillId="5" borderId="80" xfId="0" applyFont="1" applyFill="1" applyBorder="1" applyAlignment="1" applyProtection="1">
      <alignment horizontal="center" vertical="center"/>
      <protection hidden="1"/>
    </xf>
    <xf numFmtId="0" fontId="11" fillId="18" borderId="78" xfId="0" applyFont="1" applyFill="1" applyBorder="1" applyAlignment="1" applyProtection="1">
      <alignment horizontal="center" vertical="center"/>
      <protection hidden="1"/>
    </xf>
    <xf numFmtId="0" fontId="11" fillId="18" borderId="79" xfId="0" applyFont="1" applyFill="1" applyBorder="1" applyAlignment="1" applyProtection="1">
      <alignment horizontal="center" vertical="center"/>
      <protection hidden="1"/>
    </xf>
    <xf numFmtId="0" fontId="0" fillId="0" borderId="86" xfId="0" applyBorder="1" applyAlignment="1" applyProtection="1">
      <alignment horizontal="center" vertical="center"/>
      <protection hidden="1"/>
    </xf>
    <xf numFmtId="0" fontId="66" fillId="0" borderId="97" xfId="0" applyFont="1" applyBorder="1" applyAlignment="1" applyProtection="1">
      <alignment horizontal="center"/>
      <protection hidden="1"/>
    </xf>
    <xf numFmtId="0" fontId="70" fillId="18" borderId="97" xfId="0" applyFont="1" applyFill="1" applyBorder="1" applyAlignment="1" applyProtection="1">
      <alignment horizontal="center"/>
      <protection hidden="1"/>
    </xf>
    <xf numFmtId="0" fontId="0" fillId="0" borderId="0" xfId="0" applyAlignment="1" applyProtection="1">
      <alignment horizontal="center"/>
      <protection hidden="1"/>
    </xf>
    <xf numFmtId="0" fontId="81" fillId="0" borderId="0" xfId="0" applyFont="1" applyAlignment="1" applyProtection="1">
      <alignment horizontal="center"/>
      <protection hidden="1"/>
    </xf>
    <xf numFmtId="0" fontId="11" fillId="23" borderId="97" xfId="0" applyFont="1" applyFill="1" applyBorder="1" applyAlignment="1" applyProtection="1">
      <alignment horizontal="center"/>
      <protection hidden="1"/>
    </xf>
    <xf numFmtId="0" fontId="115" fillId="18" borderId="97" xfId="0" applyFont="1" applyFill="1" applyBorder="1" applyAlignment="1" applyProtection="1">
      <alignment horizontal="center"/>
      <protection hidden="1"/>
    </xf>
    <xf numFmtId="0" fontId="124" fillId="0" borderId="0" xfId="0" applyFont="1" applyAlignment="1" applyProtection="1">
      <alignment horizontal="left" vertical="top" wrapText="1"/>
      <protection hidden="1"/>
    </xf>
    <xf numFmtId="0" fontId="130" fillId="25" borderId="0" xfId="0" applyFont="1" applyFill="1" applyAlignment="1">
      <alignment horizontal="left" vertical="center"/>
    </xf>
    <xf numFmtId="0" fontId="91" fillId="23" borderId="0" xfId="0" applyFont="1" applyFill="1" applyAlignment="1">
      <alignment horizontal="left" wrapText="1"/>
    </xf>
    <xf numFmtId="0" fontId="130" fillId="23" borderId="0" xfId="0" applyFont="1" applyFill="1" applyAlignment="1">
      <alignment horizontal="left"/>
    </xf>
    <xf numFmtId="0" fontId="11" fillId="0" borderId="0" xfId="0" applyFont="1" applyAlignment="1">
      <alignment wrapText="1"/>
    </xf>
    <xf numFmtId="0" fontId="11" fillId="18" borderId="79" xfId="0" applyFont="1" applyFill="1" applyBorder="1" applyAlignment="1">
      <alignment horizontal="left"/>
    </xf>
    <xf numFmtId="0" fontId="11" fillId="18" borderId="80" xfId="0" applyFont="1" applyFill="1" applyBorder="1" applyAlignment="1">
      <alignment horizontal="left"/>
    </xf>
    <xf numFmtId="0" fontId="69" fillId="6" borderId="49" xfId="0" applyFont="1" applyFill="1" applyBorder="1" applyAlignment="1" applyProtection="1">
      <alignment wrapText="1"/>
      <protection locked="0"/>
    </xf>
    <xf numFmtId="0" fontId="69" fillId="6" borderId="43" xfId="0" applyFont="1" applyFill="1" applyBorder="1"/>
    <xf numFmtId="0" fontId="69" fillId="6" borderId="44" xfId="0" applyFont="1" applyFill="1" applyBorder="1"/>
    <xf numFmtId="0" fontId="69" fillId="0" borderId="3" xfId="0" applyFont="1" applyBorder="1" applyProtection="1">
      <protection locked="0"/>
    </xf>
    <xf numFmtId="0" fontId="69" fillId="0" borderId="10" xfId="0" applyFont="1" applyBorder="1"/>
    <xf numFmtId="0" fontId="69" fillId="0" borderId="67" xfId="0" applyFont="1" applyBorder="1"/>
    <xf numFmtId="0" fontId="69" fillId="6" borderId="61" xfId="0" applyFont="1" applyFill="1" applyBorder="1" applyAlignment="1" applyProtection="1">
      <alignment wrapText="1"/>
      <protection locked="0"/>
    </xf>
    <xf numFmtId="0" fontId="69" fillId="6" borderId="62" xfId="0" applyFont="1" applyFill="1" applyBorder="1"/>
    <xf numFmtId="0" fontId="69" fillId="6" borderId="63" xfId="0" applyFont="1" applyFill="1" applyBorder="1"/>
    <xf numFmtId="0" fontId="69" fillId="6" borderId="64" xfId="0" applyFont="1" applyFill="1" applyBorder="1" applyAlignment="1" applyProtection="1">
      <alignment wrapText="1"/>
      <protection locked="0"/>
    </xf>
    <xf numFmtId="0" fontId="69" fillId="6" borderId="65" xfId="0" applyFont="1" applyFill="1" applyBorder="1"/>
    <xf numFmtId="0" fontId="69" fillId="6" borderId="66" xfId="0" applyFont="1" applyFill="1" applyBorder="1"/>
    <xf numFmtId="0" fontId="69" fillId="6" borderId="58" xfId="0" applyFont="1" applyFill="1" applyBorder="1" applyAlignment="1" applyProtection="1">
      <alignment wrapText="1"/>
      <protection locked="0"/>
    </xf>
    <xf numFmtId="0" fontId="69" fillId="6" borderId="59" xfId="0" applyFont="1" applyFill="1" applyBorder="1"/>
    <xf numFmtId="0" fontId="69" fillId="6" borderId="60" xfId="0" applyFont="1" applyFill="1" applyBorder="1"/>
    <xf numFmtId="0" fontId="67" fillId="20" borderId="37" xfId="0" applyFont="1" applyFill="1" applyBorder="1" applyAlignment="1">
      <alignment horizontal="left" vertical="center"/>
    </xf>
    <xf numFmtId="0" fontId="67" fillId="20" borderId="55" xfId="0" applyFont="1" applyFill="1" applyBorder="1" applyAlignment="1">
      <alignment horizontal="left" vertical="center"/>
    </xf>
    <xf numFmtId="0" fontId="67" fillId="20" borderId="45" xfId="0" applyFont="1" applyFill="1" applyBorder="1" applyAlignment="1">
      <alignment horizontal="center" vertical="center"/>
    </xf>
    <xf numFmtId="0" fontId="66" fillId="20" borderId="42" xfId="0" applyFont="1" applyFill="1" applyBorder="1" applyAlignment="1">
      <alignment horizontal="center" vertical="center"/>
    </xf>
    <xf numFmtId="0" fontId="67" fillId="20" borderId="46" xfId="0" applyFont="1" applyFill="1" applyBorder="1" applyAlignment="1">
      <alignment horizontal="center" vertical="center" wrapText="1"/>
    </xf>
    <xf numFmtId="0" fontId="72" fillId="20" borderId="47" xfId="0" applyFont="1" applyFill="1" applyBorder="1" applyAlignment="1">
      <alignment horizontal="center" vertical="center"/>
    </xf>
    <xf numFmtId="0" fontId="67" fillId="20" borderId="41" xfId="0" applyFont="1" applyFill="1" applyBorder="1" applyAlignment="1">
      <alignment horizontal="center" vertical="center"/>
    </xf>
    <xf numFmtId="0" fontId="67" fillId="20" borderId="39" xfId="0" applyFont="1" applyFill="1" applyBorder="1" applyAlignment="1">
      <alignment horizontal="center" vertical="center"/>
    </xf>
    <xf numFmtId="0" fontId="67" fillId="20" borderId="40" xfId="0" applyFont="1" applyFill="1" applyBorder="1" applyAlignment="1">
      <alignment horizontal="center" vertical="center"/>
    </xf>
    <xf numFmtId="0" fontId="66" fillId="6" borderId="0" xfId="0" applyFont="1" applyFill="1" applyAlignment="1">
      <alignment wrapText="1"/>
    </xf>
    <xf numFmtId="0" fontId="66" fillId="0" borderId="0" xfId="0" applyFont="1"/>
    <xf numFmtId="0" fontId="67" fillId="20" borderId="37" xfId="0" applyFont="1" applyFill="1" applyBorder="1" applyAlignment="1">
      <alignment vertical="center"/>
    </xf>
    <xf numFmtId="0" fontId="67" fillId="20" borderId="55" xfId="0" applyFont="1" applyFill="1" applyBorder="1" applyAlignment="1">
      <alignment vertical="center"/>
    </xf>
    <xf numFmtId="0" fontId="67" fillId="20" borderId="37" xfId="0" applyFont="1" applyFill="1" applyBorder="1" applyAlignment="1">
      <alignment horizontal="left" vertical="center" wrapText="1"/>
    </xf>
    <xf numFmtId="0" fontId="66" fillId="20" borderId="55" xfId="0" applyFont="1" applyFill="1" applyBorder="1" applyAlignment="1">
      <alignment wrapText="1"/>
    </xf>
    <xf numFmtId="0" fontId="66" fillId="20" borderId="38" xfId="0" applyFont="1" applyFill="1" applyBorder="1" applyAlignment="1">
      <alignment wrapText="1"/>
    </xf>
    <xf numFmtId="0" fontId="67" fillId="20" borderId="55" xfId="0" applyFont="1" applyFill="1" applyBorder="1" applyAlignment="1">
      <alignment horizontal="left" vertical="center" wrapText="1"/>
    </xf>
    <xf numFmtId="0" fontId="69" fillId="6" borderId="58" xfId="0" applyFont="1" applyFill="1" applyBorder="1" applyAlignment="1">
      <alignment wrapText="1"/>
    </xf>
    <xf numFmtId="0" fontId="69" fillId="6" borderId="59" xfId="0" applyFont="1" applyFill="1" applyBorder="1" applyAlignment="1">
      <alignment wrapText="1"/>
    </xf>
    <xf numFmtId="0" fontId="69" fillId="6" borderId="60" xfId="0" applyFont="1" applyFill="1" applyBorder="1" applyAlignment="1">
      <alignment wrapText="1"/>
    </xf>
    <xf numFmtId="0" fontId="69" fillId="6" borderId="58" xfId="0" applyFont="1" applyFill="1" applyBorder="1" applyAlignment="1" applyProtection="1">
      <alignment horizontal="left" wrapText="1"/>
      <protection locked="0"/>
    </xf>
    <xf numFmtId="0" fontId="69" fillId="6" borderId="59" xfId="0" applyFont="1" applyFill="1" applyBorder="1" applyAlignment="1" applyProtection="1">
      <alignment horizontal="left" wrapText="1"/>
      <protection locked="0"/>
    </xf>
    <xf numFmtId="0" fontId="69" fillId="6" borderId="60" xfId="0" applyFont="1" applyFill="1" applyBorder="1" applyAlignment="1" applyProtection="1">
      <alignment horizontal="left" wrapText="1"/>
      <protection locked="0"/>
    </xf>
    <xf numFmtId="0" fontId="69" fillId="6" borderId="62" xfId="0" applyFont="1" applyFill="1" applyBorder="1" applyAlignment="1">
      <alignment wrapText="1"/>
    </xf>
    <xf numFmtId="0" fontId="69" fillId="6" borderId="63" xfId="0" applyFont="1" applyFill="1" applyBorder="1" applyAlignment="1">
      <alignment wrapText="1"/>
    </xf>
    <xf numFmtId="0" fontId="71" fillId="6" borderId="33" xfId="0" applyFont="1" applyFill="1" applyBorder="1"/>
    <xf numFmtId="0" fontId="69" fillId="6" borderId="34" xfId="0" applyFont="1" applyFill="1" applyBorder="1"/>
    <xf numFmtId="0" fontId="69" fillId="6" borderId="0" xfId="0" applyFont="1" applyFill="1"/>
    <xf numFmtId="0" fontId="69" fillId="6" borderId="54" xfId="0" applyFont="1" applyFill="1" applyBorder="1"/>
    <xf numFmtId="164" fontId="87" fillId="6" borderId="58" xfId="1" quotePrefix="1" applyNumberFormat="1" applyFont="1" applyFill="1" applyBorder="1" applyAlignment="1" applyProtection="1">
      <alignment horizontal="center" wrapText="1"/>
    </xf>
    <xf numFmtId="0" fontId="69" fillId="0" borderId="59" xfId="0" applyFont="1" applyBorder="1" applyAlignment="1">
      <alignment wrapText="1"/>
    </xf>
    <xf numFmtId="0" fontId="69" fillId="0" borderId="60" xfId="0" applyFont="1" applyBorder="1" applyAlignment="1">
      <alignment wrapText="1"/>
    </xf>
    <xf numFmtId="0" fontId="67" fillId="20" borderId="50" xfId="0" applyFont="1" applyFill="1" applyBorder="1" applyAlignment="1">
      <alignment vertical="top" wrapText="1"/>
    </xf>
    <xf numFmtId="0" fontId="66" fillId="20" borderId="75" xfId="0" applyFont="1" applyFill="1" applyBorder="1" applyAlignment="1">
      <alignment vertical="top" wrapText="1"/>
    </xf>
    <xf numFmtId="0" fontId="67" fillId="20" borderId="38" xfId="0" applyFont="1" applyFill="1" applyBorder="1" applyAlignment="1">
      <alignment horizontal="left" vertical="center"/>
    </xf>
    <xf numFmtId="0" fontId="0" fillId="20" borderId="51" xfId="0" applyFill="1" applyBorder="1" applyAlignment="1">
      <alignment horizontal="left" vertical="center"/>
    </xf>
    <xf numFmtId="0" fontId="67" fillId="20" borderId="52" xfId="0" applyFont="1" applyFill="1" applyBorder="1" applyAlignment="1">
      <alignment horizontal="left" vertical="center"/>
    </xf>
    <xf numFmtId="0" fontId="67" fillId="20" borderId="53" xfId="0" applyFont="1" applyFill="1" applyBorder="1" applyAlignment="1">
      <alignment horizontal="left" vertical="center"/>
    </xf>
    <xf numFmtId="0" fontId="69" fillId="6" borderId="68" xfId="0" applyFont="1" applyFill="1" applyBorder="1" applyAlignment="1" applyProtection="1">
      <alignment wrapText="1"/>
      <protection locked="0"/>
    </xf>
    <xf numFmtId="0" fontId="69" fillId="6" borderId="69" xfId="0" applyFont="1" applyFill="1" applyBorder="1"/>
    <xf numFmtId="0" fontId="69" fillId="6" borderId="70" xfId="0" applyFont="1" applyFill="1" applyBorder="1"/>
    <xf numFmtId="0" fontId="11" fillId="5" borderId="0" xfId="0" applyFont="1" applyFill="1"/>
    <xf numFmtId="0" fontId="56" fillId="15" borderId="9" xfId="0" applyFont="1" applyFill="1" applyBorder="1"/>
    <xf numFmtId="0" fontId="0" fillId="0" borderId="9" xfId="0" applyBorder="1"/>
    <xf numFmtId="9" fontId="148" fillId="0" borderId="7" xfId="0" applyNumberFormat="1" applyFont="1" applyBorder="1" applyAlignment="1">
      <alignment horizontal="center" vertical="center" wrapText="1"/>
    </xf>
    <xf numFmtId="9" fontId="148" fillId="0" borderId="8" xfId="0" applyNumberFormat="1" applyFont="1" applyBorder="1" applyAlignment="1">
      <alignment horizontal="center" vertical="center" wrapText="1"/>
    </xf>
    <xf numFmtId="0" fontId="148" fillId="0" borderId="8" xfId="0" applyFont="1" applyBorder="1" applyAlignment="1">
      <alignment horizontal="center" vertical="center"/>
    </xf>
    <xf numFmtId="2" fontId="148" fillId="0" borderId="7" xfId="0" applyNumberFormat="1" applyFont="1" applyBorder="1" applyAlignment="1">
      <alignment horizontal="center" vertical="center" wrapText="1"/>
    </xf>
    <xf numFmtId="2" fontId="148" fillId="0" borderId="8" xfId="0" applyNumberFormat="1" applyFont="1" applyBorder="1" applyAlignment="1">
      <alignment horizontal="center" vertical="center" wrapText="1"/>
    </xf>
    <xf numFmtId="9" fontId="148" fillId="0" borderId="7" xfId="0" applyNumberFormat="1" applyFont="1" applyBorder="1" applyAlignment="1">
      <alignment horizontal="center" vertical="center"/>
    </xf>
    <xf numFmtId="9" fontId="148" fillId="0" borderId="8" xfId="0" applyNumberFormat="1" applyFont="1" applyBorder="1" applyAlignment="1">
      <alignment horizontal="center" vertical="center"/>
    </xf>
    <xf numFmtId="2" fontId="148" fillId="0" borderId="9" xfId="0" applyNumberFormat="1" applyFont="1" applyBorder="1" applyAlignment="1">
      <alignment horizontal="center" wrapText="1"/>
    </xf>
    <xf numFmtId="9" fontId="148" fillId="0" borderId="9" xfId="0" applyNumberFormat="1" applyFont="1" applyBorder="1" applyAlignment="1">
      <alignment horizontal="center" vertical="center"/>
    </xf>
    <xf numFmtId="168" fontId="1" fillId="6" borderId="27" xfId="7" applyFont="1" applyFill="1" applyBorder="1" applyAlignment="1">
      <alignment horizontal="center" vertical="center"/>
    </xf>
    <xf numFmtId="0" fontId="29" fillId="0" borderId="27" xfId="7" applyNumberFormat="1" applyBorder="1"/>
    <xf numFmtId="2" fontId="26" fillId="6" borderId="0" xfId="7" applyNumberFormat="1" applyFont="1" applyFill="1" applyAlignment="1">
      <alignment horizontal="center" vertical="center"/>
    </xf>
    <xf numFmtId="168" fontId="27" fillId="8" borderId="0" xfId="7" applyFont="1" applyFill="1" applyAlignment="1">
      <alignment vertical="center"/>
    </xf>
    <xf numFmtId="2" fontId="26" fillId="8" borderId="0" xfId="0" applyNumberFormat="1" applyFont="1" applyFill="1" applyAlignment="1">
      <alignment horizontal="center" vertical="center"/>
    </xf>
    <xf numFmtId="0" fontId="1" fillId="8" borderId="105" xfId="0" applyFont="1" applyFill="1" applyBorder="1" applyAlignment="1">
      <alignment horizontal="center" vertical="center"/>
    </xf>
    <xf numFmtId="2" fontId="26" fillId="2" borderId="0" xfId="3" applyNumberFormat="1" applyFont="1" applyFill="1" applyAlignment="1">
      <alignment horizontal="center" vertical="center"/>
    </xf>
    <xf numFmtId="2" fontId="26" fillId="8" borderId="0" xfId="7" applyNumberFormat="1" applyFont="1" applyFill="1" applyAlignment="1">
      <alignment horizontal="center" vertical="center"/>
    </xf>
    <xf numFmtId="168" fontId="20" fillId="2" borderId="0" xfId="3" applyFont="1" applyFill="1" applyAlignment="1">
      <alignment horizontal="left" vertical="center"/>
    </xf>
    <xf numFmtId="0" fontId="56" fillId="15" borderId="0" xfId="0" applyFont="1" applyFill="1" applyAlignment="1">
      <alignment wrapText="1"/>
    </xf>
    <xf numFmtId="0" fontId="0" fillId="0" borderId="3" xfId="0" applyBorder="1"/>
  </cellXfs>
  <cellStyles count="30">
    <cellStyle name="Comma" xfId="1" builtinId="3"/>
    <cellStyle name="Comma 2" xfId="4" xr:uid="{00000000-0005-0000-0000-000001000000}"/>
    <cellStyle name="Comma 2 2" xfId="20" xr:uid="{99054799-D7B5-48D3-BE23-B633575F6041}"/>
    <cellStyle name="Comma 3" xfId="9" xr:uid="{00000000-0005-0000-0000-000002000000}"/>
    <cellStyle name="Comma 3 2" xfId="21" xr:uid="{4821FB23-5A1C-4B0B-9626-424BA04EF799}"/>
    <cellStyle name="Comma 4" xfId="13" xr:uid="{F092A157-F049-4559-A9F1-9CD9CC08B70B}"/>
    <cellStyle name="Currency" xfId="11" builtinId="4"/>
    <cellStyle name="Currency 2" xfId="10" xr:uid="{00000000-0005-0000-0000-000004000000}"/>
    <cellStyle name="Hyperlink" xfId="12" builtinId="8"/>
    <cellStyle name="Hyperlink 2" xfId="5" xr:uid="{00000000-0005-0000-0000-000005000000}"/>
    <cellStyle name="Hyperlink 2 2" xfId="23" xr:uid="{B5FA524F-6ACB-437C-949C-4371B4ABD214}"/>
    <cellStyle name="Hyperlink 2 2 2" xfId="25" xr:uid="{FFF5CDFC-A65D-4C2D-954D-B95AAEC2FD65}"/>
    <cellStyle name="Hyperlink 2 2 2 2" xfId="29" xr:uid="{80E90470-0CA1-4355-907C-B8F7FE7BBB5A}"/>
    <cellStyle name="Hyperlink 2 2 3" xfId="28" xr:uid="{346ADDE7-942D-42AF-81A0-69BBAA84C0DC}"/>
    <cellStyle name="Hyperlink 2 3" xfId="18" xr:uid="{3337ACF5-029E-4D30-BAA9-FFBE5A29FC09}"/>
    <cellStyle name="Hyperlink 3" xfId="6" xr:uid="{00000000-0005-0000-0000-000006000000}"/>
    <cellStyle name="Hyperlink 3 2" xfId="26" xr:uid="{B4636738-D610-4A44-855C-5A5B9D32EB9D}"/>
    <cellStyle name="Hyperlink 4" xfId="27" xr:uid="{06264A47-7A14-4A58-B5B7-4137C6390ED6}"/>
    <cellStyle name="Hyperlink 5" xfId="15" xr:uid="{B0984529-24D4-4581-B36F-BD11369FE78F}"/>
    <cellStyle name="Normal" xfId="0" builtinId="0"/>
    <cellStyle name="Normal 2" xfId="3" xr:uid="{00000000-0005-0000-0000-000008000000}"/>
    <cellStyle name="Normal 2 2" xfId="7" xr:uid="{00000000-0005-0000-0000-000009000000}"/>
    <cellStyle name="Normal 2 2 2" xfId="24" xr:uid="{5FC4F4AA-6FB0-4CD9-B645-9B5A342AFF58}"/>
    <cellStyle name="Normal 2 2 3" xfId="16" xr:uid="{95A0B4FC-1151-4244-B87B-9F3646604465}"/>
    <cellStyle name="Normal 2 3" xfId="22" xr:uid="{E83364F1-1A0C-4417-A43D-ABC3169060FD}"/>
    <cellStyle name="Normal 2 4" xfId="14" xr:uid="{83A951DF-F136-4766-B7CD-1690E1D4192E}"/>
    <cellStyle name="Normal 3" xfId="8" xr:uid="{00000000-0005-0000-0000-00000A000000}"/>
    <cellStyle name="Normal 3 2" xfId="19" xr:uid="{F111CDA8-F286-4C4D-9543-90FFB21F8EB3}"/>
    <cellStyle name="Normal 4 2 2" xfId="17" xr:uid="{45A09B21-F8C0-45EB-B5B3-0EE700E29044}"/>
    <cellStyle name="Percent" xfId="2" builtinId="5"/>
  </cellStyles>
  <dxfs count="39">
    <dxf>
      <fill>
        <patternFill>
          <bgColor rgb="FF92D050"/>
        </patternFill>
      </fill>
    </dxf>
    <dxf>
      <fill>
        <patternFill>
          <bgColor rgb="FFFF0000"/>
        </patternFill>
      </fill>
    </dxf>
    <dxf>
      <fill>
        <patternFill>
          <bgColor rgb="FF92D050"/>
        </patternFill>
      </fill>
    </dxf>
    <dxf>
      <fill>
        <patternFill>
          <bgColor rgb="FFFF0000"/>
        </patternFill>
      </fill>
    </dxf>
    <dxf>
      <font>
        <color theme="0"/>
      </font>
      <fill>
        <patternFill>
          <bgColor theme="0"/>
        </patternFill>
      </fill>
      <border>
        <left/>
        <right/>
        <top/>
        <bottom/>
        <vertical/>
        <horizontal/>
      </border>
    </dxf>
    <dxf>
      <font>
        <color theme="0"/>
      </font>
      <fill>
        <patternFill>
          <bgColor theme="0"/>
        </patternFill>
      </fill>
    </dxf>
    <dxf>
      <font>
        <color rgb="FF9C0006"/>
        <family val="2"/>
      </font>
    </dxf>
    <dxf>
      <font>
        <color rgb="FF9C0006"/>
        <family val="2"/>
      </font>
    </dxf>
    <dxf>
      <font>
        <color rgb="FF9C0006"/>
        <family val="2"/>
      </font>
    </dxf>
    <dxf>
      <font>
        <color rgb="FF9C0006"/>
        <family val="2"/>
      </font>
    </dxf>
    <dxf>
      <font>
        <color rgb="FF9C0006"/>
        <family val="2"/>
      </font>
    </dxf>
    <dxf>
      <font>
        <color rgb="FFFF0000"/>
        <family val="2"/>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tint="-0.14996795556505021"/>
      </font>
    </dxf>
    <dxf>
      <font>
        <color theme="0" tint="-0.14996795556505021"/>
      </font>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tint="-0.14996795556505021"/>
      </font>
    </dxf>
    <dxf>
      <font>
        <color theme="0" tint="-0.14996795556505021"/>
      </font>
    </dxf>
    <dxf>
      <font>
        <color rgb="FFFF0000"/>
      </font>
    </dxf>
    <dxf>
      <font>
        <color rgb="FFFF0000"/>
      </font>
    </dxf>
    <dxf>
      <font>
        <color rgb="FFFF0000"/>
      </font>
    </dxf>
    <dxf>
      <font>
        <color theme="0"/>
      </font>
      <fill>
        <patternFill patternType="none">
          <bgColor auto="1"/>
        </patternFill>
      </fill>
      <border>
        <left/>
        <right/>
        <top/>
        <bottom/>
        <vertical/>
        <horizontal/>
      </border>
    </dxf>
    <dxf>
      <font>
        <color theme="0"/>
      </font>
      <fill>
        <patternFill>
          <bgColor theme="0"/>
        </patternFill>
      </fill>
      <border>
        <left/>
        <right/>
        <top/>
        <bottom/>
      </border>
    </dxf>
    <dxf>
      <fill>
        <patternFill>
          <bgColor rgb="FFFF0000"/>
        </patternFill>
      </fill>
    </dxf>
    <dxf>
      <font>
        <color theme="0"/>
      </font>
      <fill>
        <patternFill>
          <bgColor theme="0"/>
        </patternFill>
      </fill>
    </dxf>
    <dxf>
      <fill>
        <patternFill>
          <bgColor rgb="FFFFFF00"/>
        </patternFill>
      </fill>
    </dxf>
    <dxf>
      <font>
        <b/>
        <i val="0"/>
      </font>
      <fill>
        <gradientFill degree="180">
          <stop position="0">
            <color theme="0"/>
          </stop>
          <stop position="1">
            <color rgb="FFFF0000"/>
          </stop>
        </gradientFill>
      </fill>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border>
    </dxf>
    <dxf>
      <fill>
        <patternFill>
          <bgColor rgb="FFFF0000"/>
        </patternFill>
      </fill>
    </dxf>
    <dxf>
      <fill>
        <patternFill>
          <bgColor rgb="FF92D050"/>
        </patternFill>
      </fill>
    </dxf>
    <dxf>
      <fill>
        <patternFill>
          <bgColor rgb="FF92D050"/>
        </patternFill>
      </fill>
    </dxf>
    <dxf>
      <fill>
        <patternFill>
          <bgColor rgb="FF92D050"/>
        </patternFill>
      </fill>
    </dxf>
    <dxf>
      <font>
        <color theme="0"/>
      </font>
      <fill>
        <patternFill>
          <bgColor theme="0"/>
        </patternFill>
      </fill>
      <border>
        <left/>
        <right/>
        <top/>
        <bottom/>
      </border>
    </dxf>
    <dxf>
      <font>
        <color theme="0"/>
      </font>
      <fill>
        <patternFill>
          <bgColor theme="0"/>
        </patternFill>
      </fill>
      <border>
        <left/>
        <right/>
        <top/>
        <bottom/>
        <vertical/>
        <horizontal/>
      </border>
    </dxf>
  </dxfs>
  <tableStyles count="0" defaultTableStyle="TableStyleMedium2" defaultPivotStyle="PivotStyleLight16"/>
  <colors>
    <mruColors>
      <color rgb="FFB81178"/>
      <color rgb="FF009FA0"/>
      <color rgb="FF00B09F"/>
      <color rgb="FF007367"/>
      <color rgb="FF00D6C2"/>
      <color rgb="FFE3E9E4"/>
      <color rgb="FFD9FFFB"/>
      <color rgb="FFBCCCBE"/>
      <color rgb="FFD5FFFB"/>
      <color rgb="FF008E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17.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18.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_rels/chart16.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17.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18.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3.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_rels/chart21.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_rels/chart22.xml.rels><?xml version="1.0" encoding="UTF-8" standalone="yes"?>
<Relationships xmlns="http://schemas.openxmlformats.org/package/2006/relationships"><Relationship Id="rId1" Type="http://schemas.openxmlformats.org/officeDocument/2006/relationships/chartUserShapes" Target="../drawings/drawing26.xml"/></Relationships>
</file>

<file path=xl/charts/_rels/chart23.xml.rels><?xml version="1.0" encoding="UTF-8" standalone="yes"?>
<Relationships xmlns="http://schemas.openxmlformats.org/package/2006/relationships"><Relationship Id="rId1" Type="http://schemas.openxmlformats.org/officeDocument/2006/relationships/chartUserShapes" Target="../drawings/drawing27.xml"/></Relationships>
</file>

<file path=xl/charts/_rels/chart24.xml.rels><?xml version="1.0" encoding="UTF-8" standalone="yes"?>
<Relationships xmlns="http://schemas.openxmlformats.org/package/2006/relationships"><Relationship Id="rId1" Type="http://schemas.openxmlformats.org/officeDocument/2006/relationships/chartUserShapes" Target="../drawings/drawing28.xml"/></Relationships>
</file>

<file path=xl/charts/_rels/chart25.xml.rels><?xml version="1.0" encoding="UTF-8" standalone="yes"?>
<Relationships xmlns="http://schemas.openxmlformats.org/package/2006/relationships"><Relationship Id="rId1" Type="http://schemas.openxmlformats.org/officeDocument/2006/relationships/chartUserShapes" Target="../drawings/drawing29.xml"/></Relationships>
</file>

<file path=xl/charts/_rels/chart26.xml.rels><?xml version="1.0" encoding="UTF-8" standalone="yes"?>
<Relationships xmlns="http://schemas.openxmlformats.org/package/2006/relationships"><Relationship Id="rId1" Type="http://schemas.openxmlformats.org/officeDocument/2006/relationships/chartUserShapes" Target="../drawings/drawing30.xml"/></Relationships>
</file>

<file path=xl/charts/_rels/chart27.xml.rels><?xml version="1.0" encoding="UTF-8" standalone="yes"?>
<Relationships xmlns="http://schemas.openxmlformats.org/package/2006/relationships"><Relationship Id="rId1" Type="http://schemas.openxmlformats.org/officeDocument/2006/relationships/chartUserShapes" Target="../drawings/drawing31.xml"/></Relationships>
</file>

<file path=xl/charts/_rels/chart28.xml.rels><?xml version="1.0" encoding="UTF-8" standalone="yes"?>
<Relationships xmlns="http://schemas.openxmlformats.org/package/2006/relationships"><Relationship Id="rId1" Type="http://schemas.openxmlformats.org/officeDocument/2006/relationships/chartUserShapes" Target="../drawings/drawing32.xml"/></Relationships>
</file>

<file path=xl/charts/_rels/chart29.xml.rels><?xml version="1.0" encoding="UTF-8" standalone="yes"?>
<Relationships xmlns="http://schemas.openxmlformats.org/package/2006/relationships"><Relationship Id="rId1" Type="http://schemas.openxmlformats.org/officeDocument/2006/relationships/chartUserShapes" Target="../drawings/drawing33.xml"/></Relationships>
</file>

<file path=xl/charts/_rels/chart30.xml.rels><?xml version="1.0" encoding="UTF-8" standalone="yes"?>
<Relationships xmlns="http://schemas.openxmlformats.org/package/2006/relationships"><Relationship Id="rId1" Type="http://schemas.openxmlformats.org/officeDocument/2006/relationships/chartUserShapes" Target="../drawings/drawing34.xml"/></Relationships>
</file>

<file path=xl/charts/_rels/chart31.xml.rels><?xml version="1.0" encoding="UTF-8" standalone="yes"?>
<Relationships xmlns="http://schemas.openxmlformats.org/package/2006/relationships"><Relationship Id="rId1" Type="http://schemas.openxmlformats.org/officeDocument/2006/relationships/chartUserShapes" Target="../drawings/drawing35.xml"/></Relationships>
</file>

<file path=xl/charts/_rels/chart32.xml.rels><?xml version="1.0" encoding="UTF-8" standalone="yes"?>
<Relationships xmlns="http://schemas.openxmlformats.org/package/2006/relationships"><Relationship Id="rId1" Type="http://schemas.openxmlformats.org/officeDocument/2006/relationships/chartUserShapes" Target="../drawings/drawing36.xml"/></Relationships>
</file>

<file path=xl/charts/_rels/chart33.xml.rels><?xml version="1.0" encoding="UTF-8" standalone="yes"?>
<Relationships xmlns="http://schemas.openxmlformats.org/package/2006/relationships"><Relationship Id="rId1" Type="http://schemas.openxmlformats.org/officeDocument/2006/relationships/chartUserShapes" Target="../drawings/drawing37.xml"/></Relationships>
</file>

<file path=xl/charts/_rels/chart34.xml.rels><?xml version="1.0" encoding="UTF-8" standalone="yes"?>
<Relationships xmlns="http://schemas.openxmlformats.org/package/2006/relationships"><Relationship Id="rId1" Type="http://schemas.openxmlformats.org/officeDocument/2006/relationships/chartUserShapes" Target="../drawings/drawing38.xml"/></Relationships>
</file>

<file path=xl/charts/_rels/chart35.xml.rels><?xml version="1.0" encoding="UTF-8" standalone="yes"?>
<Relationships xmlns="http://schemas.openxmlformats.org/package/2006/relationships"><Relationship Id="rId1" Type="http://schemas.openxmlformats.org/officeDocument/2006/relationships/chartUserShapes" Target="../drawings/drawing39.xml"/></Relationships>
</file>

<file path=xl/charts/_rels/chart36.xml.rels><?xml version="1.0" encoding="UTF-8" standalone="yes"?>
<Relationships xmlns="http://schemas.openxmlformats.org/package/2006/relationships"><Relationship Id="rId1" Type="http://schemas.openxmlformats.org/officeDocument/2006/relationships/chartUserShapes" Target="../drawings/drawing40.xml"/></Relationships>
</file>

<file path=xl/charts/_rels/chart37.xml.rels><?xml version="1.0" encoding="UTF-8" standalone="yes"?>
<Relationships xmlns="http://schemas.openxmlformats.org/package/2006/relationships"><Relationship Id="rId1" Type="http://schemas.openxmlformats.org/officeDocument/2006/relationships/chartUserShapes" Target="../drawings/drawing41.xml"/></Relationships>
</file>

<file path=xl/charts/_rels/chart38.xml.rels><?xml version="1.0" encoding="UTF-8" standalone="yes"?>
<Relationships xmlns="http://schemas.openxmlformats.org/package/2006/relationships"><Relationship Id="rId1" Type="http://schemas.openxmlformats.org/officeDocument/2006/relationships/chartUserShapes" Target="../drawings/drawing42.xml"/></Relationships>
</file>

<file path=xl/charts/_rels/chart39.xml.rels><?xml version="1.0" encoding="UTF-8" standalone="yes"?>
<Relationships xmlns="http://schemas.openxmlformats.org/package/2006/relationships"><Relationship Id="rId1" Type="http://schemas.openxmlformats.org/officeDocument/2006/relationships/chartUserShapes" Target="../drawings/drawing43.xml"/></Relationships>
</file>

<file path=xl/charts/_rels/chart40.xml.rels><?xml version="1.0" encoding="UTF-8" standalone="yes"?>
<Relationships xmlns="http://schemas.openxmlformats.org/package/2006/relationships"><Relationship Id="rId1" Type="http://schemas.openxmlformats.org/officeDocument/2006/relationships/chartUserShapes" Target="../drawings/drawing44.xml"/></Relationships>
</file>

<file path=xl/charts/_rels/chart41.xml.rels><?xml version="1.0" encoding="UTF-8" standalone="yes"?>
<Relationships xmlns="http://schemas.openxmlformats.org/package/2006/relationships"><Relationship Id="rId1" Type="http://schemas.openxmlformats.org/officeDocument/2006/relationships/chartUserShapes" Target="../drawings/drawing45.xml"/></Relationships>
</file>

<file path=xl/charts/_rels/chart42.xml.rels><?xml version="1.0" encoding="UTF-8" standalone="yes"?>
<Relationships xmlns="http://schemas.openxmlformats.org/package/2006/relationships"><Relationship Id="rId1" Type="http://schemas.openxmlformats.org/officeDocument/2006/relationships/chartUserShapes" Target="../drawings/drawing46.xml"/></Relationships>
</file>

<file path=xl/charts/_rels/chart43.xml.rels><?xml version="1.0" encoding="UTF-8" standalone="yes"?>
<Relationships xmlns="http://schemas.openxmlformats.org/package/2006/relationships"><Relationship Id="rId1" Type="http://schemas.openxmlformats.org/officeDocument/2006/relationships/chartUserShapes" Target="../drawings/drawing47.xml"/></Relationships>
</file>

<file path=xl/charts/_rels/chart44.xml.rels><?xml version="1.0" encoding="UTF-8" standalone="yes"?>
<Relationships xmlns="http://schemas.openxmlformats.org/package/2006/relationships"><Relationship Id="rId1" Type="http://schemas.openxmlformats.org/officeDocument/2006/relationships/chartUserShapes" Target="../drawings/drawing48.xml"/></Relationships>
</file>

<file path=xl/charts/_rels/chart45.xml.rels><?xml version="1.0" encoding="UTF-8" standalone="yes"?>
<Relationships xmlns="http://schemas.openxmlformats.org/package/2006/relationships"><Relationship Id="rId1" Type="http://schemas.openxmlformats.org/officeDocument/2006/relationships/chartUserShapes" Target="../drawings/drawing49.xml"/></Relationships>
</file>

<file path=xl/charts/_rels/chart46.xml.rels><?xml version="1.0" encoding="UTF-8" standalone="yes"?>
<Relationships xmlns="http://schemas.openxmlformats.org/package/2006/relationships"><Relationship Id="rId1" Type="http://schemas.openxmlformats.org/officeDocument/2006/relationships/chartUserShapes" Target="../drawings/drawing50.xml"/></Relationships>
</file>

<file path=xl/charts/_rels/chart47.xml.rels><?xml version="1.0" encoding="UTF-8" standalone="yes"?>
<Relationships xmlns="http://schemas.openxmlformats.org/package/2006/relationships"><Relationship Id="rId1" Type="http://schemas.openxmlformats.org/officeDocument/2006/relationships/chartUserShapes" Target="../drawings/drawing51.xml"/></Relationships>
</file>

<file path=xl/charts/_rels/chart48.xml.rels><?xml version="1.0" encoding="UTF-8" standalone="yes"?>
<Relationships xmlns="http://schemas.openxmlformats.org/package/2006/relationships"><Relationship Id="rId1" Type="http://schemas.openxmlformats.org/officeDocument/2006/relationships/chartUserShapes" Target="../drawings/drawing52.xml"/></Relationships>
</file>

<file path=xl/charts/_rels/chart49.xml.rels><?xml version="1.0" encoding="UTF-8" standalone="yes"?>
<Relationships xmlns="http://schemas.openxmlformats.org/package/2006/relationships"><Relationship Id="rId1" Type="http://schemas.openxmlformats.org/officeDocument/2006/relationships/chartUserShapes" Target="../drawings/drawing53.xml"/></Relationships>
</file>

<file path=xl/charts/_rels/chart50.xml.rels><?xml version="1.0" encoding="UTF-8" standalone="yes"?>
<Relationships xmlns="http://schemas.openxmlformats.org/package/2006/relationships"><Relationship Id="rId1" Type="http://schemas.openxmlformats.org/officeDocument/2006/relationships/chartUserShapes" Target="../drawings/drawing54.xml"/></Relationships>
</file>

<file path=xl/charts/_rels/chart51.xml.rels><?xml version="1.0" encoding="UTF-8" standalone="yes"?>
<Relationships xmlns="http://schemas.openxmlformats.org/package/2006/relationships"><Relationship Id="rId1" Type="http://schemas.openxmlformats.org/officeDocument/2006/relationships/chartUserShapes" Target="../drawings/drawing55.xml"/></Relationships>
</file>

<file path=xl/charts/_rels/chart52.xml.rels><?xml version="1.0" encoding="UTF-8" standalone="yes"?>
<Relationships xmlns="http://schemas.openxmlformats.org/package/2006/relationships"><Relationship Id="rId1" Type="http://schemas.openxmlformats.org/officeDocument/2006/relationships/chartUserShapes" Target="../drawings/drawing56.xml"/></Relationships>
</file>

<file path=xl/charts/_rels/chart53.xml.rels><?xml version="1.0" encoding="UTF-8" standalone="yes"?>
<Relationships xmlns="http://schemas.openxmlformats.org/package/2006/relationships"><Relationship Id="rId1" Type="http://schemas.openxmlformats.org/officeDocument/2006/relationships/chartUserShapes" Target="../drawings/drawing57.xml"/></Relationships>
</file>

<file path=xl/charts/_rels/chart54.xml.rels><?xml version="1.0" encoding="UTF-8" standalone="yes"?>
<Relationships xmlns="http://schemas.openxmlformats.org/package/2006/relationships"><Relationship Id="rId1" Type="http://schemas.openxmlformats.org/officeDocument/2006/relationships/chartUserShapes" Target="../drawings/drawing58.xml"/></Relationships>
</file>

<file path=xl/charts/_rels/chart55.xml.rels><?xml version="1.0" encoding="UTF-8" standalone="yes"?>
<Relationships xmlns="http://schemas.openxmlformats.org/package/2006/relationships"><Relationship Id="rId1" Type="http://schemas.openxmlformats.org/officeDocument/2006/relationships/chartUserShapes" Target="../drawings/drawing59.xml"/></Relationships>
</file>

<file path=xl/charts/_rels/chart56.xml.rels><?xml version="1.0" encoding="UTF-8" standalone="yes"?>
<Relationships xmlns="http://schemas.openxmlformats.org/package/2006/relationships"><Relationship Id="rId1" Type="http://schemas.openxmlformats.org/officeDocument/2006/relationships/chartUserShapes" Target="../drawings/drawing60.xml"/></Relationships>
</file>

<file path=xl/charts/_rels/chart57.xml.rels><?xml version="1.0" encoding="UTF-8" standalone="yes"?>
<Relationships xmlns="http://schemas.openxmlformats.org/package/2006/relationships"><Relationship Id="rId1" Type="http://schemas.openxmlformats.org/officeDocument/2006/relationships/chartUserShapes" Target="../drawings/drawing61.xml"/></Relationships>
</file>

<file path=xl/charts/_rels/chart58.xml.rels><?xml version="1.0" encoding="UTF-8" standalone="yes"?>
<Relationships xmlns="http://schemas.openxmlformats.org/package/2006/relationships"><Relationship Id="rId1" Type="http://schemas.openxmlformats.org/officeDocument/2006/relationships/chartUserShapes" Target="../drawings/drawing62.xml"/></Relationships>
</file>

<file path=xl/charts/_rels/chart59.xml.rels><?xml version="1.0" encoding="UTF-8" standalone="yes"?>
<Relationships xmlns="http://schemas.openxmlformats.org/package/2006/relationships"><Relationship Id="rId1" Type="http://schemas.openxmlformats.org/officeDocument/2006/relationships/chartUserShapes" Target="../drawings/drawing63.xml"/></Relationships>
</file>

<file path=xl/charts/_rels/chart60.xml.rels><?xml version="1.0" encoding="UTF-8" standalone="yes"?>
<Relationships xmlns="http://schemas.openxmlformats.org/package/2006/relationships"><Relationship Id="rId1" Type="http://schemas.openxmlformats.org/officeDocument/2006/relationships/chartUserShapes" Target="../drawings/drawing64.xml"/></Relationships>
</file>

<file path=xl/charts/_rels/chart61.xml.rels><?xml version="1.0" encoding="UTF-8" standalone="yes"?>
<Relationships xmlns="http://schemas.openxmlformats.org/package/2006/relationships"><Relationship Id="rId1" Type="http://schemas.openxmlformats.org/officeDocument/2006/relationships/chartUserShapes" Target="../drawings/drawing65.xml"/></Relationships>
</file>

<file path=xl/charts/_rels/chart62.xml.rels><?xml version="1.0" encoding="UTF-8" standalone="yes"?>
<Relationships xmlns="http://schemas.openxmlformats.org/package/2006/relationships"><Relationship Id="rId1" Type="http://schemas.openxmlformats.org/officeDocument/2006/relationships/chartUserShapes" Target="../drawings/drawing66.xml"/></Relationships>
</file>

<file path=xl/charts/_rels/chart63.xml.rels><?xml version="1.0" encoding="UTF-8" standalone="yes"?>
<Relationships xmlns="http://schemas.openxmlformats.org/package/2006/relationships"><Relationship Id="rId1" Type="http://schemas.openxmlformats.org/officeDocument/2006/relationships/chartUserShapes" Target="../drawings/drawing67.xml"/></Relationships>
</file>

<file path=xl/charts/_rels/chart64.xml.rels><?xml version="1.0" encoding="UTF-8" standalone="yes"?>
<Relationships xmlns="http://schemas.openxmlformats.org/package/2006/relationships"><Relationship Id="rId1" Type="http://schemas.openxmlformats.org/officeDocument/2006/relationships/chartUserShapes" Target="../drawings/drawing68.xml"/></Relationships>
</file>

<file path=xl/charts/_rels/chart65.xml.rels><?xml version="1.0" encoding="UTF-8" standalone="yes"?>
<Relationships xmlns="http://schemas.openxmlformats.org/package/2006/relationships"><Relationship Id="rId1" Type="http://schemas.openxmlformats.org/officeDocument/2006/relationships/chartUserShapes" Target="../drawings/drawing69.xml"/></Relationships>
</file>

<file path=xl/charts/_rels/chart66.xml.rels><?xml version="1.0" encoding="UTF-8" standalone="yes"?>
<Relationships xmlns="http://schemas.openxmlformats.org/package/2006/relationships"><Relationship Id="rId1" Type="http://schemas.openxmlformats.org/officeDocument/2006/relationships/chartUserShapes" Target="../drawings/drawing70.xml"/></Relationships>
</file>

<file path=xl/charts/_rels/chart67.xml.rels><?xml version="1.0" encoding="UTF-8" standalone="yes"?>
<Relationships xmlns="http://schemas.openxmlformats.org/package/2006/relationships"><Relationship Id="rId1" Type="http://schemas.openxmlformats.org/officeDocument/2006/relationships/chartUserShapes" Target="../drawings/drawing71.xml"/></Relationships>
</file>

<file path=xl/charts/_rels/chart68.xml.rels><?xml version="1.0" encoding="UTF-8" standalone="yes"?>
<Relationships xmlns="http://schemas.openxmlformats.org/package/2006/relationships"><Relationship Id="rId1" Type="http://schemas.openxmlformats.org/officeDocument/2006/relationships/chartUserShapes" Target="../drawings/drawing72.xml"/></Relationships>
</file>

<file path=xl/charts/_rels/chart69.xml.rels><?xml version="1.0" encoding="UTF-8" standalone="yes"?>
<Relationships xmlns="http://schemas.openxmlformats.org/package/2006/relationships"><Relationship Id="rId1" Type="http://schemas.openxmlformats.org/officeDocument/2006/relationships/chartUserShapes" Target="../drawings/drawing73.xml"/></Relationships>
</file>

<file path=xl/charts/_rels/chart70.xml.rels><?xml version="1.0" encoding="UTF-8" standalone="yes"?>
<Relationships xmlns="http://schemas.openxmlformats.org/package/2006/relationships"><Relationship Id="rId1" Type="http://schemas.openxmlformats.org/officeDocument/2006/relationships/chartUserShapes" Target="../drawings/drawing74.xml"/></Relationships>
</file>

<file path=xl/charts/_rels/chart71.xml.rels><?xml version="1.0" encoding="UTF-8" standalone="yes"?>
<Relationships xmlns="http://schemas.openxmlformats.org/package/2006/relationships"><Relationship Id="rId1" Type="http://schemas.openxmlformats.org/officeDocument/2006/relationships/chartUserShapes" Target="../drawings/drawing75.xml"/></Relationships>
</file>

<file path=xl/charts/_rels/chart72.xml.rels><?xml version="1.0" encoding="UTF-8" standalone="yes"?>
<Relationships xmlns="http://schemas.openxmlformats.org/package/2006/relationships"><Relationship Id="rId1" Type="http://schemas.openxmlformats.org/officeDocument/2006/relationships/chartUserShapes" Target="../drawings/drawing77.xml"/></Relationships>
</file>

<file path=xl/charts/_rels/chart73.xml.rels><?xml version="1.0" encoding="UTF-8" standalone="yes"?>
<Relationships xmlns="http://schemas.openxmlformats.org/package/2006/relationships"><Relationship Id="rId1" Type="http://schemas.openxmlformats.org/officeDocument/2006/relationships/chartUserShapes" Target="../drawings/drawing78.xml"/></Relationships>
</file>

<file path=xl/charts/_rels/chart74.xml.rels><?xml version="1.0" encoding="UTF-8" standalone="yes"?>
<Relationships xmlns="http://schemas.openxmlformats.org/package/2006/relationships"><Relationship Id="rId1" Type="http://schemas.openxmlformats.org/officeDocument/2006/relationships/chartUserShapes" Target="../drawings/drawing79.xml"/></Relationships>
</file>

<file path=xl/charts/_rels/chart75.xml.rels><?xml version="1.0" encoding="UTF-8" standalone="yes"?>
<Relationships xmlns="http://schemas.openxmlformats.org/package/2006/relationships"><Relationship Id="rId1" Type="http://schemas.openxmlformats.org/officeDocument/2006/relationships/chartUserShapes" Target="../drawings/drawing80.xml"/></Relationships>
</file>

<file path=xl/charts/_rels/chart76.xml.rels><?xml version="1.0" encoding="UTF-8" standalone="yes"?>
<Relationships xmlns="http://schemas.openxmlformats.org/package/2006/relationships"><Relationship Id="rId1" Type="http://schemas.openxmlformats.org/officeDocument/2006/relationships/chartUserShapes" Target="../drawings/drawing81.xml"/></Relationships>
</file>

<file path=xl/charts/_rels/chart77.xml.rels><?xml version="1.0" encoding="UTF-8" standalone="yes"?>
<Relationships xmlns="http://schemas.openxmlformats.org/package/2006/relationships"><Relationship Id="rId1" Type="http://schemas.openxmlformats.org/officeDocument/2006/relationships/chartUserShapes" Target="../drawings/drawing82.xml"/></Relationships>
</file>

<file path=xl/charts/_rels/chart78.xml.rels><?xml version="1.0" encoding="UTF-8" standalone="yes"?>
<Relationships xmlns="http://schemas.openxmlformats.org/package/2006/relationships"><Relationship Id="rId1" Type="http://schemas.openxmlformats.org/officeDocument/2006/relationships/chartUserShapes" Target="../drawings/drawing83.xml"/></Relationships>
</file>

<file path=xl/charts/_rels/chart79.xml.rels><?xml version="1.0" encoding="UTF-8" standalone="yes"?>
<Relationships xmlns="http://schemas.openxmlformats.org/package/2006/relationships"><Relationship Id="rId1" Type="http://schemas.openxmlformats.org/officeDocument/2006/relationships/chartUserShapes" Target="../drawings/drawing84.xml"/></Relationships>
</file>

<file path=xl/charts/_rels/chart80.xml.rels><?xml version="1.0" encoding="UTF-8" standalone="yes"?>
<Relationships xmlns="http://schemas.openxmlformats.org/package/2006/relationships"><Relationship Id="rId1" Type="http://schemas.openxmlformats.org/officeDocument/2006/relationships/chartUserShapes" Target="../drawings/drawing85.xml"/></Relationships>
</file>

<file path=xl/charts/_rels/chart81.xml.rels><?xml version="1.0" encoding="UTF-8" standalone="yes"?>
<Relationships xmlns="http://schemas.openxmlformats.org/package/2006/relationships"><Relationship Id="rId1" Type="http://schemas.openxmlformats.org/officeDocument/2006/relationships/chartUserShapes" Target="../drawings/drawing86.xml"/></Relationships>
</file>

<file path=xl/charts/_rels/chart82.xml.rels><?xml version="1.0" encoding="UTF-8" standalone="yes"?>
<Relationships xmlns="http://schemas.openxmlformats.org/package/2006/relationships"><Relationship Id="rId1" Type="http://schemas.openxmlformats.org/officeDocument/2006/relationships/chartUserShapes" Target="../drawings/drawing87.xml"/></Relationships>
</file>

<file path=xl/charts/_rels/chart83.xml.rels><?xml version="1.0" encoding="UTF-8" standalone="yes"?>
<Relationships xmlns="http://schemas.openxmlformats.org/package/2006/relationships"><Relationship Id="rId1" Type="http://schemas.openxmlformats.org/officeDocument/2006/relationships/chartUserShapes" Target="../drawings/drawing88.xml"/></Relationships>
</file>

<file path=xl/charts/_rels/chart84.xml.rels><?xml version="1.0" encoding="UTF-8" standalone="yes"?>
<Relationships xmlns="http://schemas.openxmlformats.org/package/2006/relationships"><Relationship Id="rId1" Type="http://schemas.openxmlformats.org/officeDocument/2006/relationships/chartUserShapes" Target="../drawings/drawing89.xml"/></Relationships>
</file>

<file path=xl/charts/_rels/chart85.xml.rels><?xml version="1.0" encoding="UTF-8" standalone="yes"?>
<Relationships xmlns="http://schemas.openxmlformats.org/package/2006/relationships"><Relationship Id="rId1" Type="http://schemas.openxmlformats.org/officeDocument/2006/relationships/chartUserShapes" Target="../drawings/drawing90.xml"/></Relationships>
</file>

<file path=xl/charts/_rels/chart86.xml.rels><?xml version="1.0" encoding="UTF-8" standalone="yes"?>
<Relationships xmlns="http://schemas.openxmlformats.org/package/2006/relationships"><Relationship Id="rId1" Type="http://schemas.openxmlformats.org/officeDocument/2006/relationships/chartUserShapes" Target="../drawings/drawing91.xml"/></Relationships>
</file>

<file path=xl/charts/_rels/chart87.xml.rels><?xml version="1.0" encoding="UTF-8" standalone="yes"?>
<Relationships xmlns="http://schemas.openxmlformats.org/package/2006/relationships"><Relationship Id="rId1" Type="http://schemas.openxmlformats.org/officeDocument/2006/relationships/chartUserShapes" Target="../drawings/drawing92.xml"/></Relationships>
</file>

<file path=xl/charts/_rels/chart88.xml.rels><?xml version="1.0" encoding="UTF-8" standalone="yes"?>
<Relationships xmlns="http://schemas.openxmlformats.org/package/2006/relationships"><Relationship Id="rId1" Type="http://schemas.openxmlformats.org/officeDocument/2006/relationships/chartUserShapes" Target="../drawings/drawing93.xml"/></Relationships>
</file>

<file path=xl/charts/_rels/chart89.xml.rels><?xml version="1.0" encoding="UTF-8" standalone="yes"?>
<Relationships xmlns="http://schemas.openxmlformats.org/package/2006/relationships"><Relationship Id="rId1" Type="http://schemas.openxmlformats.org/officeDocument/2006/relationships/chartUserShapes" Target="../drawings/drawing94.xml"/></Relationships>
</file>

<file path=xl/charts/_rels/chart90.xml.rels><?xml version="1.0" encoding="UTF-8" standalone="yes"?>
<Relationships xmlns="http://schemas.openxmlformats.org/package/2006/relationships"><Relationship Id="rId1" Type="http://schemas.openxmlformats.org/officeDocument/2006/relationships/chartUserShapes" Target="../drawings/drawing95.xml"/></Relationships>
</file>

<file path=xl/charts/_rels/chart91.xml.rels><?xml version="1.0" encoding="UTF-8" standalone="yes"?>
<Relationships xmlns="http://schemas.openxmlformats.org/package/2006/relationships"><Relationship Id="rId1" Type="http://schemas.openxmlformats.org/officeDocument/2006/relationships/chartUserShapes" Target="../drawings/drawing96.xml"/></Relationships>
</file>

<file path=xl/charts/_rels/chart92.xml.rels><?xml version="1.0" encoding="UTF-8" standalone="yes"?>
<Relationships xmlns="http://schemas.openxmlformats.org/package/2006/relationships"><Relationship Id="rId1" Type="http://schemas.openxmlformats.org/officeDocument/2006/relationships/chartUserShapes" Target="../drawings/drawing97.xml"/></Relationships>
</file>

<file path=xl/charts/_rels/chart93.xml.rels><?xml version="1.0" encoding="UTF-8" standalone="yes"?>
<Relationships xmlns="http://schemas.openxmlformats.org/package/2006/relationships"><Relationship Id="rId1" Type="http://schemas.openxmlformats.org/officeDocument/2006/relationships/chartUserShapes" Target="../drawings/drawing98.xml"/></Relationships>
</file>

<file path=xl/charts/_rels/chart94.xml.rels><?xml version="1.0" encoding="UTF-8" standalone="yes"?>
<Relationships xmlns="http://schemas.openxmlformats.org/package/2006/relationships"><Relationship Id="rId1" Type="http://schemas.openxmlformats.org/officeDocument/2006/relationships/chartUserShapes" Target="../drawings/drawing99.xml"/></Relationships>
</file>

<file path=xl/charts/_rels/chart95.xml.rels><?xml version="1.0" encoding="UTF-8" standalone="yes"?>
<Relationships xmlns="http://schemas.openxmlformats.org/package/2006/relationships"><Relationship Id="rId1" Type="http://schemas.openxmlformats.org/officeDocument/2006/relationships/chartUserShapes" Target="../drawings/drawing100.xml"/></Relationships>
</file>

<file path=xl/charts/_rels/chart96.xml.rels><?xml version="1.0" encoding="UTF-8" standalone="yes"?>
<Relationships xmlns="http://schemas.openxmlformats.org/package/2006/relationships"><Relationship Id="rId1" Type="http://schemas.openxmlformats.org/officeDocument/2006/relationships/chartUserShapes" Target="../drawings/drawing101.xml"/></Relationships>
</file>

<file path=xl/charts/_rels/chart97.xml.rels><?xml version="1.0" encoding="UTF-8" standalone="yes"?>
<Relationships xmlns="http://schemas.openxmlformats.org/package/2006/relationships"><Relationship Id="rId1" Type="http://schemas.openxmlformats.org/officeDocument/2006/relationships/chartUserShapes" Target="../drawings/drawing102.xml"/></Relationships>
</file>

<file path=xl/charts/_rels/chart98.xml.rels><?xml version="1.0" encoding="UTF-8" standalone="yes"?>
<Relationships xmlns="http://schemas.openxmlformats.org/package/2006/relationships"><Relationship Id="rId1" Type="http://schemas.openxmlformats.org/officeDocument/2006/relationships/chartUserShapes" Target="../drawings/drawing103.xml"/></Relationships>
</file>

<file path=xl/charts/_rels/chart99.xml.rels><?xml version="1.0" encoding="UTF-8" standalone="yes"?>
<Relationships xmlns="http://schemas.openxmlformats.org/package/2006/relationships"><Relationship Id="rId1" Type="http://schemas.openxmlformats.org/officeDocument/2006/relationships/chartUserShapes" Target="../drawings/drawing104.xml"/></Relationships>
</file>

<file path=xl/charts/_rels/chart100.xml.rels><?xml version="1.0" encoding="UTF-8" standalone="yes"?>
<Relationships xmlns="http://schemas.openxmlformats.org/package/2006/relationships"><Relationship Id="rId1" Type="http://schemas.openxmlformats.org/officeDocument/2006/relationships/chartUserShapes" Target="../drawings/drawing105.xml"/></Relationships>
</file>

<file path=xl/charts/_rels/chart101.xml.rels><?xml version="1.0" encoding="UTF-8" standalone="yes"?>
<Relationships xmlns="http://schemas.openxmlformats.org/package/2006/relationships"><Relationship Id="rId1" Type="http://schemas.openxmlformats.org/officeDocument/2006/relationships/chartUserShapes" Target="../drawings/drawing106.xml"/></Relationships>
</file>

<file path=xl/charts/_rels/chart102.xml.rels><?xml version="1.0" encoding="UTF-8" standalone="yes"?>
<Relationships xmlns="http://schemas.openxmlformats.org/package/2006/relationships"><Relationship Id="rId1" Type="http://schemas.openxmlformats.org/officeDocument/2006/relationships/chartUserShapes" Target="../drawings/drawing107.xml"/></Relationships>
</file>

<file path=xl/charts/_rels/chart103.xml.rels><?xml version="1.0" encoding="UTF-8" standalone="yes"?>
<Relationships xmlns="http://schemas.openxmlformats.org/package/2006/relationships"><Relationship Id="rId1" Type="http://schemas.openxmlformats.org/officeDocument/2006/relationships/chartUserShapes" Target="../drawings/drawing108.xml"/></Relationships>
</file>

<file path=xl/charts/_rels/chart104.xml.rels><?xml version="1.0" encoding="UTF-8" standalone="yes"?>
<Relationships xmlns="http://schemas.openxmlformats.org/package/2006/relationships"><Relationship Id="rId1" Type="http://schemas.openxmlformats.org/officeDocument/2006/relationships/chartUserShapes" Target="../drawings/drawing109.xml"/></Relationships>
</file>

<file path=xl/charts/_rels/chart105.xml.rels><?xml version="1.0" encoding="UTF-8" standalone="yes"?>
<Relationships xmlns="http://schemas.openxmlformats.org/package/2006/relationships"><Relationship Id="rId1" Type="http://schemas.openxmlformats.org/officeDocument/2006/relationships/chartUserShapes" Target="../drawings/drawing110.xml"/></Relationships>
</file>

<file path=xl/charts/_rels/chart106.xml.rels><?xml version="1.0" encoding="UTF-8" standalone="yes"?>
<Relationships xmlns="http://schemas.openxmlformats.org/package/2006/relationships"><Relationship Id="rId1" Type="http://schemas.openxmlformats.org/officeDocument/2006/relationships/chartUserShapes" Target="../drawings/drawing111.xml"/></Relationships>
</file>

<file path=xl/charts/_rels/chart107.xml.rels><?xml version="1.0" encoding="UTF-8" standalone="yes"?>
<Relationships xmlns="http://schemas.openxmlformats.org/package/2006/relationships"><Relationship Id="rId1" Type="http://schemas.openxmlformats.org/officeDocument/2006/relationships/chartUserShapes" Target="../drawings/drawing112.xml"/></Relationships>
</file>

<file path=xl/charts/_rels/chart108.xml.rels><?xml version="1.0" encoding="UTF-8" standalone="yes"?>
<Relationships xmlns="http://schemas.openxmlformats.org/package/2006/relationships"><Relationship Id="rId1" Type="http://schemas.openxmlformats.org/officeDocument/2006/relationships/chartUserShapes" Target="../drawings/drawing113.xml"/></Relationships>
</file>

<file path=xl/charts/_rels/chart109.xml.rels><?xml version="1.0" encoding="UTF-8" standalone="yes"?>
<Relationships xmlns="http://schemas.openxmlformats.org/package/2006/relationships"><Relationship Id="rId1" Type="http://schemas.openxmlformats.org/officeDocument/2006/relationships/chartUserShapes" Target="../drawings/drawing114.xml"/></Relationships>
</file>

<file path=xl/charts/_rels/chart110.xml.rels><?xml version="1.0" encoding="UTF-8" standalone="yes"?>
<Relationships xmlns="http://schemas.openxmlformats.org/package/2006/relationships"><Relationship Id="rId1" Type="http://schemas.openxmlformats.org/officeDocument/2006/relationships/chartUserShapes" Target="../drawings/drawing115.xml"/></Relationships>
</file>

<file path=xl/charts/_rels/chart111.xml.rels><?xml version="1.0" encoding="UTF-8" standalone="yes"?>
<Relationships xmlns="http://schemas.openxmlformats.org/package/2006/relationships"><Relationship Id="rId1" Type="http://schemas.openxmlformats.org/officeDocument/2006/relationships/chartUserShapes" Target="../drawings/drawing116.xml"/></Relationships>
</file>

<file path=xl/charts/_rels/chart112.xml.rels><?xml version="1.0" encoding="UTF-8" standalone="yes"?>
<Relationships xmlns="http://schemas.openxmlformats.org/package/2006/relationships"><Relationship Id="rId1" Type="http://schemas.openxmlformats.org/officeDocument/2006/relationships/chartUserShapes" Target="../drawings/drawing117.xml"/></Relationships>
</file>

<file path=xl/charts/_rels/chart113.xml.rels><?xml version="1.0" encoding="UTF-8" standalone="yes"?>
<Relationships xmlns="http://schemas.openxmlformats.org/package/2006/relationships"><Relationship Id="rId1" Type="http://schemas.openxmlformats.org/officeDocument/2006/relationships/chartUserShapes" Target="../drawings/drawing118.xml"/></Relationships>
</file>

<file path=xl/charts/_rels/chart114.xml.rels><?xml version="1.0" encoding="UTF-8" standalone="yes"?>
<Relationships xmlns="http://schemas.openxmlformats.org/package/2006/relationships"><Relationship Id="rId1" Type="http://schemas.openxmlformats.org/officeDocument/2006/relationships/chartUserShapes" Target="../drawings/drawing1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4800"/>
        <c:axId val="616425192"/>
      </c:barChart>
      <c:catAx>
        <c:axId val="616424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5192"/>
        <c:crosses val="autoZero"/>
        <c:auto val="0"/>
        <c:lblAlgn val="ctr"/>
        <c:lblOffset val="100"/>
        <c:tickMarkSkip val="1"/>
        <c:noMultiLvlLbl val="0"/>
      </c:catAx>
      <c:valAx>
        <c:axId val="616425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4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5976"/>
        <c:axId val="616426368"/>
      </c:barChart>
      <c:catAx>
        <c:axId val="616425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6368"/>
        <c:crosses val="autoZero"/>
        <c:auto val="0"/>
        <c:lblAlgn val="ctr"/>
        <c:lblOffset val="100"/>
        <c:tickMarkSkip val="1"/>
        <c:noMultiLvlLbl val="0"/>
      </c:catAx>
      <c:valAx>
        <c:axId val="616426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5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7152"/>
        <c:axId val="616427544"/>
      </c:barChart>
      <c:catAx>
        <c:axId val="616427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7544"/>
        <c:crosses val="autoZero"/>
        <c:auto val="0"/>
        <c:lblAlgn val="ctr"/>
        <c:lblOffset val="100"/>
        <c:tickMarkSkip val="1"/>
        <c:noMultiLvlLbl val="0"/>
      </c:catAx>
      <c:valAx>
        <c:axId val="616427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7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8328"/>
        <c:axId val="616428720"/>
      </c:barChart>
      <c:catAx>
        <c:axId val="616428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8720"/>
        <c:crosses val="autoZero"/>
        <c:auto val="0"/>
        <c:lblAlgn val="ctr"/>
        <c:lblOffset val="100"/>
        <c:tickMarkSkip val="1"/>
        <c:noMultiLvlLbl val="0"/>
      </c:catAx>
      <c:valAx>
        <c:axId val="616428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8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9504"/>
        <c:axId val="616429896"/>
      </c:barChart>
      <c:catAx>
        <c:axId val="616429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9896"/>
        <c:crosses val="autoZero"/>
        <c:auto val="0"/>
        <c:lblAlgn val="ctr"/>
        <c:lblOffset val="100"/>
        <c:tickMarkSkip val="1"/>
        <c:noMultiLvlLbl val="0"/>
      </c:catAx>
      <c:valAx>
        <c:axId val="616429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9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0680"/>
        <c:axId val="616431072"/>
      </c:barChart>
      <c:catAx>
        <c:axId val="616430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1072"/>
        <c:crosses val="autoZero"/>
        <c:auto val="0"/>
        <c:lblAlgn val="ctr"/>
        <c:lblOffset val="100"/>
        <c:tickMarkSkip val="1"/>
        <c:noMultiLvlLbl val="0"/>
      </c:catAx>
      <c:valAx>
        <c:axId val="616431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0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1856"/>
        <c:axId val="616432248"/>
      </c:barChart>
      <c:catAx>
        <c:axId val="616431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2248"/>
        <c:crosses val="autoZero"/>
        <c:auto val="0"/>
        <c:lblAlgn val="ctr"/>
        <c:lblOffset val="100"/>
        <c:tickMarkSkip val="1"/>
        <c:noMultiLvlLbl val="0"/>
      </c:catAx>
      <c:valAx>
        <c:axId val="616432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1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3032"/>
        <c:axId val="616433424"/>
      </c:barChart>
      <c:catAx>
        <c:axId val="616433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3424"/>
        <c:crosses val="autoZero"/>
        <c:auto val="0"/>
        <c:lblAlgn val="ctr"/>
        <c:lblOffset val="100"/>
        <c:tickMarkSkip val="1"/>
        <c:noMultiLvlLbl val="0"/>
      </c:catAx>
      <c:valAx>
        <c:axId val="616433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3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4208"/>
        <c:axId val="616434600"/>
      </c:barChart>
      <c:catAx>
        <c:axId val="616434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4600"/>
        <c:crosses val="autoZero"/>
        <c:auto val="0"/>
        <c:lblAlgn val="ctr"/>
        <c:lblOffset val="100"/>
        <c:tickMarkSkip val="1"/>
        <c:noMultiLvlLbl val="0"/>
      </c:catAx>
      <c:valAx>
        <c:axId val="616434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4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5384"/>
        <c:axId val="616435776"/>
      </c:barChart>
      <c:catAx>
        <c:axId val="616435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5776"/>
        <c:crosses val="autoZero"/>
        <c:auto val="0"/>
        <c:lblAlgn val="ctr"/>
        <c:lblOffset val="100"/>
        <c:tickMarkSkip val="1"/>
        <c:noMultiLvlLbl val="0"/>
      </c:catAx>
      <c:valAx>
        <c:axId val="616435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5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6560"/>
        <c:axId val="616436952"/>
      </c:barChart>
      <c:catAx>
        <c:axId val="616436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6952"/>
        <c:crosses val="autoZero"/>
        <c:auto val="0"/>
        <c:lblAlgn val="ctr"/>
        <c:lblOffset val="100"/>
        <c:tickMarkSkip val="1"/>
        <c:noMultiLvlLbl val="0"/>
      </c:catAx>
      <c:valAx>
        <c:axId val="616436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6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7736"/>
        <c:axId val="616438128"/>
      </c:barChart>
      <c:catAx>
        <c:axId val="616437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8128"/>
        <c:crosses val="autoZero"/>
        <c:auto val="0"/>
        <c:lblAlgn val="ctr"/>
        <c:lblOffset val="100"/>
        <c:tickMarkSkip val="1"/>
        <c:noMultiLvlLbl val="0"/>
      </c:catAx>
      <c:valAx>
        <c:axId val="616438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7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8912"/>
        <c:axId val="616439304"/>
      </c:barChart>
      <c:catAx>
        <c:axId val="616438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9304"/>
        <c:crosses val="autoZero"/>
        <c:auto val="0"/>
        <c:lblAlgn val="ctr"/>
        <c:lblOffset val="100"/>
        <c:tickMarkSkip val="1"/>
        <c:noMultiLvlLbl val="0"/>
      </c:catAx>
      <c:valAx>
        <c:axId val="616439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8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0088"/>
        <c:axId val="616440480"/>
      </c:barChart>
      <c:catAx>
        <c:axId val="616440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0480"/>
        <c:crosses val="autoZero"/>
        <c:auto val="0"/>
        <c:lblAlgn val="ctr"/>
        <c:lblOffset val="100"/>
        <c:tickMarkSkip val="1"/>
        <c:noMultiLvlLbl val="0"/>
      </c:catAx>
      <c:valAx>
        <c:axId val="616440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0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1264"/>
        <c:axId val="616441656"/>
      </c:barChart>
      <c:catAx>
        <c:axId val="616441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1656"/>
        <c:crosses val="autoZero"/>
        <c:auto val="0"/>
        <c:lblAlgn val="ctr"/>
        <c:lblOffset val="100"/>
        <c:tickMarkSkip val="1"/>
        <c:noMultiLvlLbl val="0"/>
      </c:catAx>
      <c:valAx>
        <c:axId val="616441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1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2440"/>
        <c:axId val="616442832"/>
      </c:barChart>
      <c:catAx>
        <c:axId val="616442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2832"/>
        <c:crosses val="autoZero"/>
        <c:auto val="0"/>
        <c:lblAlgn val="ctr"/>
        <c:lblOffset val="100"/>
        <c:tickMarkSkip val="1"/>
        <c:noMultiLvlLbl val="0"/>
      </c:catAx>
      <c:valAx>
        <c:axId val="616442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2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3616"/>
        <c:axId val="616444008"/>
      </c:barChart>
      <c:catAx>
        <c:axId val="616443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4008"/>
        <c:crosses val="autoZero"/>
        <c:auto val="0"/>
        <c:lblAlgn val="ctr"/>
        <c:lblOffset val="100"/>
        <c:tickMarkSkip val="1"/>
        <c:noMultiLvlLbl val="0"/>
      </c:catAx>
      <c:valAx>
        <c:axId val="616444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3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4792"/>
        <c:axId val="616445184"/>
      </c:barChart>
      <c:catAx>
        <c:axId val="616444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5184"/>
        <c:crosses val="autoZero"/>
        <c:auto val="0"/>
        <c:lblAlgn val="ctr"/>
        <c:lblOffset val="100"/>
        <c:tickMarkSkip val="1"/>
        <c:noMultiLvlLbl val="0"/>
      </c:catAx>
      <c:valAx>
        <c:axId val="616445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4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5968"/>
        <c:axId val="616446360"/>
      </c:barChart>
      <c:catAx>
        <c:axId val="616445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6360"/>
        <c:crosses val="autoZero"/>
        <c:auto val="0"/>
        <c:lblAlgn val="ctr"/>
        <c:lblOffset val="100"/>
        <c:tickMarkSkip val="1"/>
        <c:noMultiLvlLbl val="0"/>
      </c:catAx>
      <c:valAx>
        <c:axId val="616446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5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5272"/>
        <c:axId val="669655664"/>
      </c:barChart>
      <c:catAx>
        <c:axId val="669655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5664"/>
        <c:crosses val="autoZero"/>
        <c:auto val="0"/>
        <c:lblAlgn val="ctr"/>
        <c:lblOffset val="100"/>
        <c:tickMarkSkip val="1"/>
        <c:noMultiLvlLbl val="0"/>
      </c:catAx>
      <c:valAx>
        <c:axId val="669655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5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6448"/>
        <c:axId val="669656840"/>
      </c:barChart>
      <c:catAx>
        <c:axId val="669656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6840"/>
        <c:crosses val="autoZero"/>
        <c:auto val="0"/>
        <c:lblAlgn val="ctr"/>
        <c:lblOffset val="100"/>
        <c:tickMarkSkip val="1"/>
        <c:noMultiLvlLbl val="0"/>
      </c:catAx>
      <c:valAx>
        <c:axId val="669656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6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7624"/>
        <c:axId val="669658016"/>
      </c:barChart>
      <c:catAx>
        <c:axId val="669657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8016"/>
        <c:crosses val="autoZero"/>
        <c:auto val="0"/>
        <c:lblAlgn val="ctr"/>
        <c:lblOffset val="100"/>
        <c:tickMarkSkip val="1"/>
        <c:noMultiLvlLbl val="0"/>
      </c:catAx>
      <c:valAx>
        <c:axId val="669658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7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8800"/>
        <c:axId val="669659192"/>
      </c:barChart>
      <c:catAx>
        <c:axId val="669658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9192"/>
        <c:crosses val="autoZero"/>
        <c:auto val="0"/>
        <c:lblAlgn val="ctr"/>
        <c:lblOffset val="100"/>
        <c:tickMarkSkip val="1"/>
        <c:noMultiLvlLbl val="0"/>
      </c:catAx>
      <c:valAx>
        <c:axId val="669659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8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9976"/>
        <c:axId val="669660368"/>
      </c:barChart>
      <c:catAx>
        <c:axId val="669659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0368"/>
        <c:crosses val="autoZero"/>
        <c:auto val="0"/>
        <c:lblAlgn val="ctr"/>
        <c:lblOffset val="100"/>
        <c:tickMarkSkip val="1"/>
        <c:noMultiLvlLbl val="0"/>
      </c:catAx>
      <c:valAx>
        <c:axId val="669660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9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1152"/>
        <c:axId val="669661544"/>
      </c:barChart>
      <c:catAx>
        <c:axId val="669661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1544"/>
        <c:crosses val="autoZero"/>
        <c:auto val="0"/>
        <c:lblAlgn val="ctr"/>
        <c:lblOffset val="100"/>
        <c:tickMarkSkip val="1"/>
        <c:noMultiLvlLbl val="0"/>
      </c:catAx>
      <c:valAx>
        <c:axId val="669661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1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2328"/>
        <c:axId val="669662720"/>
      </c:barChart>
      <c:catAx>
        <c:axId val="669662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2720"/>
        <c:crosses val="autoZero"/>
        <c:auto val="0"/>
        <c:lblAlgn val="ctr"/>
        <c:lblOffset val="100"/>
        <c:tickMarkSkip val="1"/>
        <c:noMultiLvlLbl val="0"/>
      </c:catAx>
      <c:valAx>
        <c:axId val="669662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2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3504"/>
        <c:axId val="669663896"/>
      </c:barChart>
      <c:catAx>
        <c:axId val="669663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3896"/>
        <c:crosses val="autoZero"/>
        <c:auto val="0"/>
        <c:lblAlgn val="ctr"/>
        <c:lblOffset val="100"/>
        <c:tickMarkSkip val="1"/>
        <c:noMultiLvlLbl val="0"/>
      </c:catAx>
      <c:valAx>
        <c:axId val="669663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3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4680"/>
        <c:axId val="669665072"/>
      </c:barChart>
      <c:catAx>
        <c:axId val="669664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5072"/>
        <c:crosses val="autoZero"/>
        <c:auto val="0"/>
        <c:lblAlgn val="ctr"/>
        <c:lblOffset val="100"/>
        <c:tickMarkSkip val="1"/>
        <c:noMultiLvlLbl val="0"/>
      </c:catAx>
      <c:valAx>
        <c:axId val="669665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4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5856"/>
        <c:axId val="669666248"/>
      </c:barChart>
      <c:catAx>
        <c:axId val="669665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6248"/>
        <c:crosses val="autoZero"/>
        <c:auto val="0"/>
        <c:lblAlgn val="ctr"/>
        <c:lblOffset val="100"/>
        <c:tickMarkSkip val="1"/>
        <c:noMultiLvlLbl val="0"/>
      </c:catAx>
      <c:valAx>
        <c:axId val="669666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5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7032"/>
        <c:axId val="669667424"/>
      </c:barChart>
      <c:catAx>
        <c:axId val="669667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7424"/>
        <c:crosses val="autoZero"/>
        <c:auto val="0"/>
        <c:lblAlgn val="ctr"/>
        <c:lblOffset val="100"/>
        <c:tickMarkSkip val="1"/>
        <c:noMultiLvlLbl val="0"/>
      </c:catAx>
      <c:valAx>
        <c:axId val="669667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7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8208"/>
        <c:axId val="669668600"/>
      </c:barChart>
      <c:catAx>
        <c:axId val="669668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8600"/>
        <c:crosses val="autoZero"/>
        <c:auto val="0"/>
        <c:lblAlgn val="ctr"/>
        <c:lblOffset val="100"/>
        <c:tickMarkSkip val="1"/>
        <c:noMultiLvlLbl val="0"/>
      </c:catAx>
      <c:valAx>
        <c:axId val="669668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8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9384"/>
        <c:axId val="669669776"/>
      </c:barChart>
      <c:catAx>
        <c:axId val="669669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9776"/>
        <c:crosses val="autoZero"/>
        <c:auto val="0"/>
        <c:lblAlgn val="ctr"/>
        <c:lblOffset val="100"/>
        <c:tickMarkSkip val="1"/>
        <c:noMultiLvlLbl val="0"/>
      </c:catAx>
      <c:valAx>
        <c:axId val="669669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9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0560"/>
        <c:axId val="669670952"/>
      </c:barChart>
      <c:catAx>
        <c:axId val="669670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0952"/>
        <c:crosses val="autoZero"/>
        <c:auto val="0"/>
        <c:lblAlgn val="ctr"/>
        <c:lblOffset val="100"/>
        <c:tickMarkSkip val="1"/>
        <c:noMultiLvlLbl val="0"/>
      </c:catAx>
      <c:valAx>
        <c:axId val="669670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0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1736"/>
        <c:axId val="669672128"/>
      </c:barChart>
      <c:catAx>
        <c:axId val="669671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2128"/>
        <c:crosses val="autoZero"/>
        <c:auto val="0"/>
        <c:lblAlgn val="ctr"/>
        <c:lblOffset val="100"/>
        <c:tickMarkSkip val="1"/>
        <c:noMultiLvlLbl val="0"/>
      </c:catAx>
      <c:valAx>
        <c:axId val="669672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1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2912"/>
        <c:axId val="669673304"/>
      </c:barChart>
      <c:catAx>
        <c:axId val="669672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3304"/>
        <c:crosses val="autoZero"/>
        <c:auto val="0"/>
        <c:lblAlgn val="ctr"/>
        <c:lblOffset val="100"/>
        <c:tickMarkSkip val="1"/>
        <c:noMultiLvlLbl val="0"/>
      </c:catAx>
      <c:valAx>
        <c:axId val="669673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2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4088"/>
        <c:axId val="669674480"/>
      </c:barChart>
      <c:catAx>
        <c:axId val="669674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4480"/>
        <c:crosses val="autoZero"/>
        <c:auto val="0"/>
        <c:lblAlgn val="ctr"/>
        <c:lblOffset val="100"/>
        <c:tickMarkSkip val="1"/>
        <c:noMultiLvlLbl val="0"/>
      </c:catAx>
      <c:valAx>
        <c:axId val="669674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4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5264"/>
        <c:axId val="669675656"/>
      </c:barChart>
      <c:catAx>
        <c:axId val="669675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5656"/>
        <c:crosses val="autoZero"/>
        <c:auto val="0"/>
        <c:lblAlgn val="ctr"/>
        <c:lblOffset val="100"/>
        <c:tickMarkSkip val="1"/>
        <c:noMultiLvlLbl val="0"/>
      </c:catAx>
      <c:valAx>
        <c:axId val="669675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5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6440"/>
        <c:axId val="669676832"/>
      </c:barChart>
      <c:catAx>
        <c:axId val="669676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6832"/>
        <c:crosses val="autoZero"/>
        <c:auto val="0"/>
        <c:lblAlgn val="ctr"/>
        <c:lblOffset val="100"/>
        <c:tickMarkSkip val="1"/>
        <c:noMultiLvlLbl val="0"/>
      </c:catAx>
      <c:valAx>
        <c:axId val="669676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6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7616"/>
        <c:axId val="669678008"/>
      </c:barChart>
      <c:catAx>
        <c:axId val="669677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8008"/>
        <c:crosses val="autoZero"/>
        <c:auto val="0"/>
        <c:lblAlgn val="ctr"/>
        <c:lblOffset val="100"/>
        <c:tickMarkSkip val="1"/>
        <c:noMultiLvlLbl val="0"/>
      </c:catAx>
      <c:valAx>
        <c:axId val="669678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7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8792"/>
        <c:axId val="669679184"/>
      </c:barChart>
      <c:catAx>
        <c:axId val="669678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9184"/>
        <c:crosses val="autoZero"/>
        <c:auto val="0"/>
        <c:lblAlgn val="ctr"/>
        <c:lblOffset val="100"/>
        <c:tickMarkSkip val="1"/>
        <c:noMultiLvlLbl val="0"/>
      </c:catAx>
      <c:valAx>
        <c:axId val="669679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8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9968"/>
        <c:axId val="669680360"/>
      </c:barChart>
      <c:catAx>
        <c:axId val="669679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0360"/>
        <c:crosses val="autoZero"/>
        <c:auto val="0"/>
        <c:lblAlgn val="ctr"/>
        <c:lblOffset val="100"/>
        <c:tickMarkSkip val="1"/>
        <c:noMultiLvlLbl val="0"/>
      </c:catAx>
      <c:valAx>
        <c:axId val="669680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9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1144"/>
        <c:axId val="669681536"/>
      </c:barChart>
      <c:catAx>
        <c:axId val="6696811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1536"/>
        <c:crosses val="autoZero"/>
        <c:auto val="0"/>
        <c:lblAlgn val="ctr"/>
        <c:lblOffset val="100"/>
        <c:tickMarkSkip val="1"/>
        <c:noMultiLvlLbl val="0"/>
      </c:catAx>
      <c:valAx>
        <c:axId val="6696815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11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2320"/>
        <c:axId val="669682712"/>
      </c:barChart>
      <c:catAx>
        <c:axId val="6696823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2712"/>
        <c:crosses val="autoZero"/>
        <c:auto val="0"/>
        <c:lblAlgn val="ctr"/>
        <c:lblOffset val="100"/>
        <c:tickMarkSkip val="1"/>
        <c:noMultiLvlLbl val="0"/>
      </c:catAx>
      <c:valAx>
        <c:axId val="6696827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23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3496"/>
        <c:axId val="669683888"/>
      </c:barChart>
      <c:catAx>
        <c:axId val="6696834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3888"/>
        <c:crosses val="autoZero"/>
        <c:auto val="0"/>
        <c:lblAlgn val="ctr"/>
        <c:lblOffset val="100"/>
        <c:tickMarkSkip val="1"/>
        <c:noMultiLvlLbl val="0"/>
      </c:catAx>
      <c:valAx>
        <c:axId val="6696838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34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4672"/>
        <c:axId val="669685064"/>
      </c:barChart>
      <c:catAx>
        <c:axId val="6696846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5064"/>
        <c:crosses val="autoZero"/>
        <c:auto val="0"/>
        <c:lblAlgn val="ctr"/>
        <c:lblOffset val="100"/>
        <c:tickMarkSkip val="1"/>
        <c:noMultiLvlLbl val="0"/>
      </c:catAx>
      <c:valAx>
        <c:axId val="6696850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46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5848"/>
        <c:axId val="669686240"/>
      </c:barChart>
      <c:catAx>
        <c:axId val="6696858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6240"/>
        <c:crosses val="autoZero"/>
        <c:auto val="0"/>
        <c:lblAlgn val="ctr"/>
        <c:lblOffset val="100"/>
        <c:tickMarkSkip val="1"/>
        <c:noMultiLvlLbl val="0"/>
      </c:catAx>
      <c:valAx>
        <c:axId val="6696862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58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7024"/>
        <c:axId val="669687416"/>
      </c:barChart>
      <c:catAx>
        <c:axId val="6696870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7416"/>
        <c:crosses val="autoZero"/>
        <c:auto val="0"/>
        <c:lblAlgn val="ctr"/>
        <c:lblOffset val="100"/>
        <c:tickMarkSkip val="1"/>
        <c:noMultiLvlLbl val="0"/>
      </c:catAx>
      <c:valAx>
        <c:axId val="6696874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70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07744"/>
        <c:axId val="671108136"/>
      </c:barChart>
      <c:catAx>
        <c:axId val="6711077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8136"/>
        <c:crosses val="autoZero"/>
        <c:auto val="0"/>
        <c:lblAlgn val="ctr"/>
        <c:lblOffset val="100"/>
        <c:tickMarkSkip val="1"/>
        <c:noMultiLvlLbl val="0"/>
      </c:catAx>
      <c:valAx>
        <c:axId val="6711081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77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08920"/>
        <c:axId val="671109312"/>
      </c:barChart>
      <c:catAx>
        <c:axId val="6711089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9312"/>
        <c:crosses val="autoZero"/>
        <c:auto val="0"/>
        <c:lblAlgn val="ctr"/>
        <c:lblOffset val="100"/>
        <c:tickMarkSkip val="1"/>
        <c:noMultiLvlLbl val="0"/>
      </c:catAx>
      <c:valAx>
        <c:axId val="6711093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89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0096"/>
        <c:axId val="671110488"/>
      </c:barChart>
      <c:catAx>
        <c:axId val="671110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0488"/>
        <c:crosses val="autoZero"/>
        <c:auto val="0"/>
        <c:lblAlgn val="ctr"/>
        <c:lblOffset val="100"/>
        <c:tickMarkSkip val="1"/>
        <c:noMultiLvlLbl val="0"/>
      </c:catAx>
      <c:valAx>
        <c:axId val="671110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0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1272"/>
        <c:axId val="671111664"/>
      </c:barChart>
      <c:catAx>
        <c:axId val="671111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1664"/>
        <c:crosses val="autoZero"/>
        <c:auto val="0"/>
        <c:lblAlgn val="ctr"/>
        <c:lblOffset val="100"/>
        <c:tickMarkSkip val="1"/>
        <c:noMultiLvlLbl val="0"/>
      </c:catAx>
      <c:valAx>
        <c:axId val="671111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1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2448"/>
        <c:axId val="671112840"/>
      </c:barChart>
      <c:catAx>
        <c:axId val="671112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2840"/>
        <c:crosses val="autoZero"/>
        <c:auto val="0"/>
        <c:lblAlgn val="ctr"/>
        <c:lblOffset val="100"/>
        <c:tickMarkSkip val="1"/>
        <c:noMultiLvlLbl val="0"/>
      </c:catAx>
      <c:valAx>
        <c:axId val="671112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2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3624"/>
        <c:axId val="671114016"/>
      </c:barChart>
      <c:catAx>
        <c:axId val="671113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4016"/>
        <c:crosses val="autoZero"/>
        <c:auto val="0"/>
        <c:lblAlgn val="ctr"/>
        <c:lblOffset val="100"/>
        <c:tickMarkSkip val="1"/>
        <c:noMultiLvlLbl val="0"/>
      </c:catAx>
      <c:valAx>
        <c:axId val="671114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3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4800"/>
        <c:axId val="671115192"/>
      </c:barChart>
      <c:catAx>
        <c:axId val="671114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5192"/>
        <c:crosses val="autoZero"/>
        <c:auto val="0"/>
        <c:lblAlgn val="ctr"/>
        <c:lblOffset val="100"/>
        <c:tickMarkSkip val="1"/>
        <c:noMultiLvlLbl val="0"/>
      </c:catAx>
      <c:valAx>
        <c:axId val="671115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4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5976"/>
        <c:axId val="671116368"/>
      </c:barChart>
      <c:catAx>
        <c:axId val="671115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6368"/>
        <c:crosses val="autoZero"/>
        <c:auto val="0"/>
        <c:lblAlgn val="ctr"/>
        <c:lblOffset val="100"/>
        <c:tickMarkSkip val="1"/>
        <c:noMultiLvlLbl val="0"/>
      </c:catAx>
      <c:valAx>
        <c:axId val="671116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5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7152"/>
        <c:axId val="671117544"/>
      </c:barChart>
      <c:catAx>
        <c:axId val="671117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7544"/>
        <c:crosses val="autoZero"/>
        <c:auto val="0"/>
        <c:lblAlgn val="ctr"/>
        <c:lblOffset val="100"/>
        <c:tickMarkSkip val="1"/>
        <c:noMultiLvlLbl val="0"/>
      </c:catAx>
      <c:valAx>
        <c:axId val="671117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7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8328"/>
        <c:axId val="671118720"/>
      </c:barChart>
      <c:catAx>
        <c:axId val="671118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8720"/>
        <c:crosses val="autoZero"/>
        <c:auto val="0"/>
        <c:lblAlgn val="ctr"/>
        <c:lblOffset val="100"/>
        <c:tickMarkSkip val="1"/>
        <c:noMultiLvlLbl val="0"/>
      </c:catAx>
      <c:valAx>
        <c:axId val="671118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8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9504"/>
        <c:axId val="671119896"/>
      </c:barChart>
      <c:catAx>
        <c:axId val="671119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9896"/>
        <c:crosses val="autoZero"/>
        <c:auto val="0"/>
        <c:lblAlgn val="ctr"/>
        <c:lblOffset val="100"/>
        <c:tickMarkSkip val="1"/>
        <c:noMultiLvlLbl val="0"/>
      </c:catAx>
      <c:valAx>
        <c:axId val="671119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9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0680"/>
        <c:axId val="671121072"/>
      </c:barChart>
      <c:catAx>
        <c:axId val="671120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1072"/>
        <c:crosses val="autoZero"/>
        <c:auto val="0"/>
        <c:lblAlgn val="ctr"/>
        <c:lblOffset val="100"/>
        <c:tickMarkSkip val="1"/>
        <c:noMultiLvlLbl val="0"/>
      </c:catAx>
      <c:valAx>
        <c:axId val="671121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0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1856"/>
        <c:axId val="671122248"/>
      </c:barChart>
      <c:catAx>
        <c:axId val="671121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2248"/>
        <c:crosses val="autoZero"/>
        <c:auto val="0"/>
        <c:lblAlgn val="ctr"/>
        <c:lblOffset val="100"/>
        <c:tickMarkSkip val="1"/>
        <c:noMultiLvlLbl val="0"/>
      </c:catAx>
      <c:valAx>
        <c:axId val="671122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1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3032"/>
        <c:axId val="671123424"/>
      </c:barChart>
      <c:catAx>
        <c:axId val="671123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3424"/>
        <c:crosses val="autoZero"/>
        <c:auto val="0"/>
        <c:lblAlgn val="ctr"/>
        <c:lblOffset val="100"/>
        <c:tickMarkSkip val="1"/>
        <c:noMultiLvlLbl val="0"/>
      </c:catAx>
      <c:valAx>
        <c:axId val="671123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3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4208"/>
        <c:axId val="671124600"/>
      </c:barChart>
      <c:catAx>
        <c:axId val="671124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4600"/>
        <c:crosses val="autoZero"/>
        <c:auto val="0"/>
        <c:lblAlgn val="ctr"/>
        <c:lblOffset val="100"/>
        <c:tickMarkSkip val="1"/>
        <c:noMultiLvlLbl val="0"/>
      </c:catAx>
      <c:valAx>
        <c:axId val="671124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4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5384"/>
        <c:axId val="671125776"/>
      </c:barChart>
      <c:catAx>
        <c:axId val="671125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5776"/>
        <c:crosses val="autoZero"/>
        <c:auto val="0"/>
        <c:lblAlgn val="ctr"/>
        <c:lblOffset val="100"/>
        <c:tickMarkSkip val="1"/>
        <c:noMultiLvlLbl val="0"/>
      </c:catAx>
      <c:valAx>
        <c:axId val="671125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5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6560"/>
        <c:axId val="671126952"/>
      </c:barChart>
      <c:catAx>
        <c:axId val="671126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6952"/>
        <c:crosses val="autoZero"/>
        <c:auto val="0"/>
        <c:lblAlgn val="ctr"/>
        <c:lblOffset val="100"/>
        <c:tickMarkSkip val="1"/>
        <c:noMultiLvlLbl val="0"/>
      </c:catAx>
      <c:valAx>
        <c:axId val="671126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6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7736"/>
        <c:axId val="671128128"/>
      </c:barChart>
      <c:catAx>
        <c:axId val="671127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8128"/>
        <c:crosses val="autoZero"/>
        <c:auto val="0"/>
        <c:lblAlgn val="ctr"/>
        <c:lblOffset val="100"/>
        <c:tickMarkSkip val="1"/>
        <c:noMultiLvlLbl val="0"/>
      </c:catAx>
      <c:valAx>
        <c:axId val="671128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7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8912"/>
        <c:axId val="671129304"/>
      </c:barChart>
      <c:catAx>
        <c:axId val="671128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9304"/>
        <c:crosses val="autoZero"/>
        <c:auto val="0"/>
        <c:lblAlgn val="ctr"/>
        <c:lblOffset val="100"/>
        <c:tickMarkSkip val="1"/>
        <c:noMultiLvlLbl val="0"/>
      </c:catAx>
      <c:valAx>
        <c:axId val="671129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8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0088"/>
        <c:axId val="671130480"/>
      </c:barChart>
      <c:catAx>
        <c:axId val="671130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0480"/>
        <c:crosses val="autoZero"/>
        <c:auto val="0"/>
        <c:lblAlgn val="ctr"/>
        <c:lblOffset val="100"/>
        <c:tickMarkSkip val="1"/>
        <c:noMultiLvlLbl val="0"/>
      </c:catAx>
      <c:valAx>
        <c:axId val="671130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0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1264"/>
        <c:axId val="671131656"/>
      </c:barChart>
      <c:catAx>
        <c:axId val="671131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1656"/>
        <c:crosses val="autoZero"/>
        <c:auto val="0"/>
        <c:lblAlgn val="ctr"/>
        <c:lblOffset val="100"/>
        <c:tickMarkSkip val="1"/>
        <c:noMultiLvlLbl val="0"/>
      </c:catAx>
      <c:valAx>
        <c:axId val="671131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1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2440"/>
        <c:axId val="671132832"/>
      </c:barChart>
      <c:catAx>
        <c:axId val="671132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2832"/>
        <c:crosses val="autoZero"/>
        <c:auto val="0"/>
        <c:lblAlgn val="ctr"/>
        <c:lblOffset val="100"/>
        <c:tickMarkSkip val="1"/>
        <c:noMultiLvlLbl val="0"/>
      </c:catAx>
      <c:valAx>
        <c:axId val="671132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2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3616"/>
        <c:axId val="671134008"/>
      </c:barChart>
      <c:catAx>
        <c:axId val="671133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4008"/>
        <c:crosses val="autoZero"/>
        <c:auto val="0"/>
        <c:lblAlgn val="ctr"/>
        <c:lblOffset val="100"/>
        <c:tickMarkSkip val="1"/>
        <c:noMultiLvlLbl val="0"/>
      </c:catAx>
      <c:valAx>
        <c:axId val="671134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3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4792"/>
        <c:axId val="671135184"/>
      </c:barChart>
      <c:catAx>
        <c:axId val="671134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5184"/>
        <c:crosses val="autoZero"/>
        <c:auto val="0"/>
        <c:lblAlgn val="ctr"/>
        <c:lblOffset val="100"/>
        <c:tickMarkSkip val="1"/>
        <c:noMultiLvlLbl val="0"/>
      </c:catAx>
      <c:valAx>
        <c:axId val="671135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4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5096"/>
        <c:axId val="613875488"/>
      </c:barChart>
      <c:catAx>
        <c:axId val="613875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5488"/>
        <c:crosses val="autoZero"/>
        <c:auto val="0"/>
        <c:lblAlgn val="ctr"/>
        <c:lblOffset val="100"/>
        <c:tickMarkSkip val="1"/>
        <c:noMultiLvlLbl val="0"/>
      </c:catAx>
      <c:valAx>
        <c:axId val="613875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5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6272"/>
        <c:axId val="613876664"/>
      </c:barChart>
      <c:catAx>
        <c:axId val="613876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6664"/>
        <c:crosses val="autoZero"/>
        <c:auto val="0"/>
        <c:lblAlgn val="ctr"/>
        <c:lblOffset val="100"/>
        <c:tickMarkSkip val="1"/>
        <c:noMultiLvlLbl val="0"/>
      </c:catAx>
      <c:valAx>
        <c:axId val="613876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6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9016"/>
        <c:axId val="613879408"/>
      </c:barChart>
      <c:catAx>
        <c:axId val="6138790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9408"/>
        <c:crosses val="autoZero"/>
        <c:auto val="0"/>
        <c:lblAlgn val="ctr"/>
        <c:lblOffset val="100"/>
        <c:tickMarkSkip val="1"/>
        <c:noMultiLvlLbl val="0"/>
      </c:catAx>
      <c:valAx>
        <c:axId val="6138794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90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80192"/>
        <c:axId val="613880584"/>
      </c:barChart>
      <c:catAx>
        <c:axId val="6138801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0584"/>
        <c:crosses val="autoZero"/>
        <c:auto val="0"/>
        <c:lblAlgn val="ctr"/>
        <c:lblOffset val="100"/>
        <c:tickMarkSkip val="1"/>
        <c:noMultiLvlLbl val="0"/>
      </c:catAx>
      <c:valAx>
        <c:axId val="6138805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01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8624"/>
        <c:axId val="613878232"/>
      </c:barChart>
      <c:catAx>
        <c:axId val="613878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8232"/>
        <c:crosses val="autoZero"/>
        <c:auto val="0"/>
        <c:lblAlgn val="ctr"/>
        <c:lblOffset val="100"/>
        <c:tickMarkSkip val="1"/>
        <c:noMultiLvlLbl val="0"/>
      </c:catAx>
      <c:valAx>
        <c:axId val="6138782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8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7448"/>
        <c:axId val="613881368"/>
      </c:barChart>
      <c:catAx>
        <c:axId val="613877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1368"/>
        <c:crosses val="autoZero"/>
        <c:auto val="0"/>
        <c:lblAlgn val="ctr"/>
        <c:lblOffset val="100"/>
        <c:tickMarkSkip val="1"/>
        <c:noMultiLvlLbl val="0"/>
      </c:catAx>
      <c:valAx>
        <c:axId val="613881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7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82152"/>
        <c:axId val="613882544"/>
      </c:barChart>
      <c:catAx>
        <c:axId val="613882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2544"/>
        <c:crosses val="autoZero"/>
        <c:auto val="0"/>
        <c:lblAlgn val="ctr"/>
        <c:lblOffset val="100"/>
        <c:tickMarkSkip val="1"/>
        <c:noMultiLvlLbl val="0"/>
      </c:catAx>
      <c:valAx>
        <c:axId val="613882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2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6488"/>
        <c:axId val="613436880"/>
      </c:barChart>
      <c:catAx>
        <c:axId val="6134364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6880"/>
        <c:crosses val="autoZero"/>
        <c:auto val="0"/>
        <c:lblAlgn val="ctr"/>
        <c:lblOffset val="100"/>
        <c:tickMarkSkip val="1"/>
        <c:noMultiLvlLbl val="0"/>
      </c:catAx>
      <c:valAx>
        <c:axId val="6134368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64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7664"/>
        <c:axId val="613438056"/>
      </c:barChart>
      <c:catAx>
        <c:axId val="6134376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8056"/>
        <c:crosses val="autoZero"/>
        <c:auto val="0"/>
        <c:lblAlgn val="ctr"/>
        <c:lblOffset val="100"/>
        <c:tickMarkSkip val="1"/>
        <c:noMultiLvlLbl val="0"/>
      </c:catAx>
      <c:valAx>
        <c:axId val="6134380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76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8840"/>
        <c:axId val="613439232"/>
      </c:barChart>
      <c:catAx>
        <c:axId val="6134388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9232"/>
        <c:crosses val="autoZero"/>
        <c:auto val="0"/>
        <c:lblAlgn val="ctr"/>
        <c:lblOffset val="100"/>
        <c:tickMarkSkip val="1"/>
        <c:noMultiLvlLbl val="0"/>
      </c:catAx>
      <c:valAx>
        <c:axId val="6134392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88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0016"/>
        <c:axId val="613440408"/>
      </c:barChart>
      <c:catAx>
        <c:axId val="6134400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0408"/>
        <c:crosses val="autoZero"/>
        <c:auto val="0"/>
        <c:lblAlgn val="ctr"/>
        <c:lblOffset val="100"/>
        <c:tickMarkSkip val="1"/>
        <c:noMultiLvlLbl val="0"/>
      </c:catAx>
      <c:valAx>
        <c:axId val="6134404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00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1192"/>
        <c:axId val="613441584"/>
      </c:barChart>
      <c:catAx>
        <c:axId val="6134411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1584"/>
        <c:crosses val="autoZero"/>
        <c:auto val="0"/>
        <c:lblAlgn val="ctr"/>
        <c:lblOffset val="100"/>
        <c:tickMarkSkip val="1"/>
        <c:noMultiLvlLbl val="0"/>
      </c:catAx>
      <c:valAx>
        <c:axId val="6134415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11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2368"/>
        <c:axId val="613442760"/>
      </c:barChart>
      <c:catAx>
        <c:axId val="6134423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2760"/>
        <c:crosses val="autoZero"/>
        <c:auto val="0"/>
        <c:lblAlgn val="ctr"/>
        <c:lblOffset val="100"/>
        <c:tickMarkSkip val="1"/>
        <c:noMultiLvlLbl val="0"/>
      </c:catAx>
      <c:valAx>
        <c:axId val="6134427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23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3544"/>
        <c:axId val="613443936"/>
      </c:barChart>
      <c:catAx>
        <c:axId val="6134435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3936"/>
        <c:crosses val="autoZero"/>
        <c:auto val="0"/>
        <c:lblAlgn val="ctr"/>
        <c:lblOffset val="100"/>
        <c:tickMarkSkip val="1"/>
        <c:noMultiLvlLbl val="0"/>
      </c:catAx>
      <c:valAx>
        <c:axId val="6134439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35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4720"/>
        <c:axId val="613445112"/>
      </c:barChart>
      <c:catAx>
        <c:axId val="6134447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5112"/>
        <c:crosses val="autoZero"/>
        <c:auto val="0"/>
        <c:lblAlgn val="ctr"/>
        <c:lblOffset val="100"/>
        <c:tickMarkSkip val="1"/>
        <c:noMultiLvlLbl val="0"/>
      </c:catAx>
      <c:valAx>
        <c:axId val="6134451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47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5896"/>
        <c:axId val="613446288"/>
      </c:barChart>
      <c:catAx>
        <c:axId val="6134458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6288"/>
        <c:crosses val="autoZero"/>
        <c:auto val="0"/>
        <c:lblAlgn val="ctr"/>
        <c:lblOffset val="100"/>
        <c:tickMarkSkip val="1"/>
        <c:noMultiLvlLbl val="0"/>
      </c:catAx>
      <c:valAx>
        <c:axId val="6134462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58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7072"/>
        <c:axId val="613447464"/>
      </c:barChart>
      <c:catAx>
        <c:axId val="6134470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7464"/>
        <c:crosses val="autoZero"/>
        <c:auto val="0"/>
        <c:lblAlgn val="ctr"/>
        <c:lblOffset val="100"/>
        <c:tickMarkSkip val="1"/>
        <c:noMultiLvlLbl val="0"/>
      </c:catAx>
      <c:valAx>
        <c:axId val="6134474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70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8248"/>
        <c:axId val="613448640"/>
      </c:barChart>
      <c:catAx>
        <c:axId val="6134482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8640"/>
        <c:crosses val="autoZero"/>
        <c:auto val="0"/>
        <c:lblAlgn val="ctr"/>
        <c:lblOffset val="100"/>
        <c:tickMarkSkip val="1"/>
        <c:noMultiLvlLbl val="0"/>
      </c:catAx>
      <c:valAx>
        <c:axId val="6134486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82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9424"/>
        <c:axId val="613449816"/>
      </c:barChart>
      <c:catAx>
        <c:axId val="6134494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9816"/>
        <c:crosses val="autoZero"/>
        <c:auto val="0"/>
        <c:lblAlgn val="ctr"/>
        <c:lblOffset val="100"/>
        <c:tickMarkSkip val="1"/>
        <c:noMultiLvlLbl val="0"/>
      </c:catAx>
      <c:valAx>
        <c:axId val="6134498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94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50600"/>
        <c:axId val="613450992"/>
      </c:barChart>
      <c:catAx>
        <c:axId val="6134506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0992"/>
        <c:crosses val="autoZero"/>
        <c:auto val="0"/>
        <c:lblAlgn val="ctr"/>
        <c:lblOffset val="100"/>
        <c:tickMarkSkip val="1"/>
        <c:noMultiLvlLbl val="0"/>
      </c:catAx>
      <c:valAx>
        <c:axId val="6134509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06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51776"/>
        <c:axId val="613452168"/>
      </c:barChart>
      <c:catAx>
        <c:axId val="6134517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2168"/>
        <c:crosses val="autoZero"/>
        <c:auto val="0"/>
        <c:lblAlgn val="ctr"/>
        <c:lblOffset val="100"/>
        <c:tickMarkSkip val="1"/>
        <c:noMultiLvlLbl val="0"/>
      </c:catAx>
      <c:valAx>
        <c:axId val="6134521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17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58384"/>
        <c:axId val="616958776"/>
      </c:barChart>
      <c:catAx>
        <c:axId val="616958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8776"/>
        <c:crosses val="autoZero"/>
        <c:auto val="0"/>
        <c:lblAlgn val="ctr"/>
        <c:lblOffset val="100"/>
        <c:tickMarkSkip val="1"/>
        <c:noMultiLvlLbl val="0"/>
      </c:catAx>
      <c:valAx>
        <c:axId val="616958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8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59560"/>
        <c:axId val="616959952"/>
      </c:barChart>
      <c:catAx>
        <c:axId val="616959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9952"/>
        <c:crosses val="autoZero"/>
        <c:auto val="0"/>
        <c:lblAlgn val="ctr"/>
        <c:lblOffset val="100"/>
        <c:tickMarkSkip val="1"/>
        <c:noMultiLvlLbl val="0"/>
      </c:catAx>
      <c:valAx>
        <c:axId val="616959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9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0736"/>
        <c:axId val="616961128"/>
      </c:barChart>
      <c:catAx>
        <c:axId val="616960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1128"/>
        <c:crosses val="autoZero"/>
        <c:auto val="0"/>
        <c:lblAlgn val="ctr"/>
        <c:lblOffset val="100"/>
        <c:tickMarkSkip val="1"/>
        <c:noMultiLvlLbl val="0"/>
      </c:catAx>
      <c:valAx>
        <c:axId val="616961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0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1912"/>
        <c:axId val="616962304"/>
      </c:barChart>
      <c:catAx>
        <c:axId val="616961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2304"/>
        <c:crosses val="autoZero"/>
        <c:auto val="0"/>
        <c:lblAlgn val="ctr"/>
        <c:lblOffset val="100"/>
        <c:tickMarkSkip val="1"/>
        <c:noMultiLvlLbl val="0"/>
      </c:catAx>
      <c:valAx>
        <c:axId val="616962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1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3088"/>
        <c:axId val="616963480"/>
      </c:barChart>
      <c:catAx>
        <c:axId val="616963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3480"/>
        <c:crosses val="autoZero"/>
        <c:auto val="0"/>
        <c:lblAlgn val="ctr"/>
        <c:lblOffset val="100"/>
        <c:tickMarkSkip val="1"/>
        <c:noMultiLvlLbl val="0"/>
      </c:catAx>
      <c:valAx>
        <c:axId val="616963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3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4264"/>
        <c:axId val="616964656"/>
      </c:barChart>
      <c:catAx>
        <c:axId val="616964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4656"/>
        <c:crosses val="autoZero"/>
        <c:auto val="0"/>
        <c:lblAlgn val="ctr"/>
        <c:lblOffset val="100"/>
        <c:tickMarkSkip val="1"/>
        <c:noMultiLvlLbl val="0"/>
      </c:catAx>
      <c:valAx>
        <c:axId val="616964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4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5440"/>
        <c:axId val="616965832"/>
      </c:barChart>
      <c:catAx>
        <c:axId val="616965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5832"/>
        <c:crosses val="autoZero"/>
        <c:auto val="0"/>
        <c:lblAlgn val="ctr"/>
        <c:lblOffset val="100"/>
        <c:tickMarkSkip val="1"/>
        <c:noMultiLvlLbl val="0"/>
      </c:catAx>
      <c:valAx>
        <c:axId val="616965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5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6616"/>
        <c:axId val="616967008"/>
      </c:barChart>
      <c:catAx>
        <c:axId val="616966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7008"/>
        <c:crosses val="autoZero"/>
        <c:auto val="0"/>
        <c:lblAlgn val="ctr"/>
        <c:lblOffset val="100"/>
        <c:tickMarkSkip val="1"/>
        <c:noMultiLvlLbl val="0"/>
      </c:catAx>
      <c:valAx>
        <c:axId val="616967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6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7792"/>
        <c:axId val="616968184"/>
      </c:barChart>
      <c:catAx>
        <c:axId val="616967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8184"/>
        <c:crosses val="autoZero"/>
        <c:auto val="0"/>
        <c:lblAlgn val="ctr"/>
        <c:lblOffset val="100"/>
        <c:tickMarkSkip val="1"/>
        <c:noMultiLvlLbl val="0"/>
      </c:catAx>
      <c:valAx>
        <c:axId val="616968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7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8968"/>
        <c:axId val="616969360"/>
      </c:barChart>
      <c:catAx>
        <c:axId val="616968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9360"/>
        <c:crosses val="autoZero"/>
        <c:auto val="0"/>
        <c:lblAlgn val="ctr"/>
        <c:lblOffset val="100"/>
        <c:tickMarkSkip val="1"/>
        <c:noMultiLvlLbl val="0"/>
      </c:catAx>
      <c:valAx>
        <c:axId val="616969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8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0144"/>
        <c:axId val="616970536"/>
      </c:barChart>
      <c:catAx>
        <c:axId val="6169701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0536"/>
        <c:crosses val="autoZero"/>
        <c:auto val="0"/>
        <c:lblAlgn val="ctr"/>
        <c:lblOffset val="100"/>
        <c:tickMarkSkip val="1"/>
        <c:noMultiLvlLbl val="0"/>
      </c:catAx>
      <c:valAx>
        <c:axId val="6169705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01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1320"/>
        <c:axId val="616971712"/>
      </c:barChart>
      <c:catAx>
        <c:axId val="6169713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1712"/>
        <c:crosses val="autoZero"/>
        <c:auto val="0"/>
        <c:lblAlgn val="ctr"/>
        <c:lblOffset val="100"/>
        <c:tickMarkSkip val="1"/>
        <c:noMultiLvlLbl val="0"/>
      </c:catAx>
      <c:valAx>
        <c:axId val="6169717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13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2496"/>
        <c:axId val="616972888"/>
      </c:barChart>
      <c:catAx>
        <c:axId val="6169724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2888"/>
        <c:crosses val="autoZero"/>
        <c:auto val="0"/>
        <c:lblAlgn val="ctr"/>
        <c:lblOffset val="100"/>
        <c:tickMarkSkip val="1"/>
        <c:noMultiLvlLbl val="0"/>
      </c:catAx>
      <c:valAx>
        <c:axId val="6169728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24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3672"/>
        <c:axId val="616414608"/>
      </c:barChart>
      <c:catAx>
        <c:axId val="6169736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4608"/>
        <c:crosses val="autoZero"/>
        <c:auto val="0"/>
        <c:lblAlgn val="ctr"/>
        <c:lblOffset val="100"/>
        <c:tickMarkSkip val="1"/>
        <c:noMultiLvlLbl val="0"/>
      </c:catAx>
      <c:valAx>
        <c:axId val="6164146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36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5392"/>
        <c:axId val="616415784"/>
      </c:barChart>
      <c:catAx>
        <c:axId val="6164153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5784"/>
        <c:crosses val="autoZero"/>
        <c:auto val="0"/>
        <c:lblAlgn val="ctr"/>
        <c:lblOffset val="100"/>
        <c:tickMarkSkip val="1"/>
        <c:noMultiLvlLbl val="0"/>
      </c:catAx>
      <c:valAx>
        <c:axId val="6164157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53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6568"/>
        <c:axId val="616416960"/>
      </c:barChart>
      <c:catAx>
        <c:axId val="6164165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6960"/>
        <c:crosses val="autoZero"/>
        <c:auto val="0"/>
        <c:lblAlgn val="ctr"/>
        <c:lblOffset val="100"/>
        <c:tickMarkSkip val="1"/>
        <c:noMultiLvlLbl val="0"/>
      </c:catAx>
      <c:valAx>
        <c:axId val="6164169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65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7744"/>
        <c:axId val="616418136"/>
      </c:barChart>
      <c:catAx>
        <c:axId val="6164177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8136"/>
        <c:crosses val="autoZero"/>
        <c:auto val="0"/>
        <c:lblAlgn val="ctr"/>
        <c:lblOffset val="100"/>
        <c:tickMarkSkip val="1"/>
        <c:noMultiLvlLbl val="0"/>
      </c:catAx>
      <c:valAx>
        <c:axId val="6164181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77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8920"/>
        <c:axId val="616419312"/>
      </c:barChart>
      <c:catAx>
        <c:axId val="6164189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9312"/>
        <c:crosses val="autoZero"/>
        <c:auto val="0"/>
        <c:lblAlgn val="ctr"/>
        <c:lblOffset val="100"/>
        <c:tickMarkSkip val="1"/>
        <c:noMultiLvlLbl val="0"/>
      </c:catAx>
      <c:valAx>
        <c:axId val="6164193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89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0096"/>
        <c:axId val="616420488"/>
      </c:barChart>
      <c:catAx>
        <c:axId val="616420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0488"/>
        <c:crosses val="autoZero"/>
        <c:auto val="0"/>
        <c:lblAlgn val="ctr"/>
        <c:lblOffset val="100"/>
        <c:tickMarkSkip val="1"/>
        <c:noMultiLvlLbl val="0"/>
      </c:catAx>
      <c:valAx>
        <c:axId val="616420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0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1272"/>
        <c:axId val="616421664"/>
      </c:barChart>
      <c:catAx>
        <c:axId val="616421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1664"/>
        <c:crosses val="autoZero"/>
        <c:auto val="0"/>
        <c:lblAlgn val="ctr"/>
        <c:lblOffset val="100"/>
        <c:tickMarkSkip val="1"/>
        <c:noMultiLvlLbl val="0"/>
      </c:catAx>
      <c:valAx>
        <c:axId val="616421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1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2448"/>
        <c:axId val="616422840"/>
      </c:barChart>
      <c:catAx>
        <c:axId val="616422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2840"/>
        <c:crosses val="autoZero"/>
        <c:auto val="0"/>
        <c:lblAlgn val="ctr"/>
        <c:lblOffset val="100"/>
        <c:tickMarkSkip val="1"/>
        <c:noMultiLvlLbl val="0"/>
      </c:catAx>
      <c:valAx>
        <c:axId val="616422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2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3624"/>
        <c:axId val="616424016"/>
      </c:barChart>
      <c:catAx>
        <c:axId val="616423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4016"/>
        <c:crosses val="autoZero"/>
        <c:auto val="0"/>
        <c:lblAlgn val="ctr"/>
        <c:lblOffset val="100"/>
        <c:tickMarkSkip val="1"/>
        <c:noMultiLvlLbl val="0"/>
      </c:catAx>
      <c:valAx>
        <c:axId val="616424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3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9" Type="http://schemas.openxmlformats.org/officeDocument/2006/relationships/chart" Target="../charts/chart39.xml"/><Relationship Id="rId21" Type="http://schemas.openxmlformats.org/officeDocument/2006/relationships/chart" Target="../charts/chart21.xml"/><Relationship Id="rId34" Type="http://schemas.openxmlformats.org/officeDocument/2006/relationships/chart" Target="../charts/chart34.xml"/><Relationship Id="rId42" Type="http://schemas.openxmlformats.org/officeDocument/2006/relationships/chart" Target="../charts/chart42.xml"/><Relationship Id="rId47" Type="http://schemas.openxmlformats.org/officeDocument/2006/relationships/chart" Target="../charts/chart47.xml"/><Relationship Id="rId50" Type="http://schemas.openxmlformats.org/officeDocument/2006/relationships/chart" Target="../charts/chart50.xml"/><Relationship Id="rId55" Type="http://schemas.openxmlformats.org/officeDocument/2006/relationships/chart" Target="../charts/chart55.xml"/><Relationship Id="rId63" Type="http://schemas.openxmlformats.org/officeDocument/2006/relationships/chart" Target="../charts/chart63.xml"/><Relationship Id="rId68" Type="http://schemas.openxmlformats.org/officeDocument/2006/relationships/chart" Target="../charts/chart68.xml"/><Relationship Id="rId7" Type="http://schemas.openxmlformats.org/officeDocument/2006/relationships/chart" Target="../charts/chart7.xml"/><Relationship Id="rId71" Type="http://schemas.openxmlformats.org/officeDocument/2006/relationships/chart" Target="../charts/chart71.xml"/><Relationship Id="rId2" Type="http://schemas.openxmlformats.org/officeDocument/2006/relationships/chart" Target="../charts/chart2.xml"/><Relationship Id="rId16" Type="http://schemas.openxmlformats.org/officeDocument/2006/relationships/chart" Target="../charts/chart16.xml"/><Relationship Id="rId29" Type="http://schemas.openxmlformats.org/officeDocument/2006/relationships/chart" Target="../charts/chart29.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4.xml"/><Relationship Id="rId32" Type="http://schemas.openxmlformats.org/officeDocument/2006/relationships/chart" Target="../charts/chart32.xml"/><Relationship Id="rId37" Type="http://schemas.openxmlformats.org/officeDocument/2006/relationships/chart" Target="../charts/chart37.xml"/><Relationship Id="rId40" Type="http://schemas.openxmlformats.org/officeDocument/2006/relationships/chart" Target="../charts/chart40.xml"/><Relationship Id="rId45" Type="http://schemas.openxmlformats.org/officeDocument/2006/relationships/chart" Target="../charts/chart45.xml"/><Relationship Id="rId53" Type="http://schemas.openxmlformats.org/officeDocument/2006/relationships/chart" Target="../charts/chart53.xml"/><Relationship Id="rId58" Type="http://schemas.openxmlformats.org/officeDocument/2006/relationships/chart" Target="../charts/chart58.xml"/><Relationship Id="rId66" Type="http://schemas.openxmlformats.org/officeDocument/2006/relationships/chart" Target="../charts/chart66.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36" Type="http://schemas.openxmlformats.org/officeDocument/2006/relationships/chart" Target="../charts/chart36.xml"/><Relationship Id="rId49" Type="http://schemas.openxmlformats.org/officeDocument/2006/relationships/chart" Target="../charts/chart49.xml"/><Relationship Id="rId57" Type="http://schemas.openxmlformats.org/officeDocument/2006/relationships/chart" Target="../charts/chart57.xml"/><Relationship Id="rId61" Type="http://schemas.openxmlformats.org/officeDocument/2006/relationships/chart" Target="../charts/chart61.xml"/><Relationship Id="rId10" Type="http://schemas.openxmlformats.org/officeDocument/2006/relationships/chart" Target="../charts/chart10.xml"/><Relationship Id="rId19" Type="http://schemas.openxmlformats.org/officeDocument/2006/relationships/chart" Target="../charts/chart19.xml"/><Relationship Id="rId31" Type="http://schemas.openxmlformats.org/officeDocument/2006/relationships/chart" Target="../charts/chart31.xml"/><Relationship Id="rId44" Type="http://schemas.openxmlformats.org/officeDocument/2006/relationships/chart" Target="../charts/chart44.xml"/><Relationship Id="rId52" Type="http://schemas.openxmlformats.org/officeDocument/2006/relationships/chart" Target="../charts/chart52.xml"/><Relationship Id="rId60" Type="http://schemas.openxmlformats.org/officeDocument/2006/relationships/chart" Target="../charts/chart60.xml"/><Relationship Id="rId65" Type="http://schemas.openxmlformats.org/officeDocument/2006/relationships/chart" Target="../charts/chart65.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 Id="rId35" Type="http://schemas.openxmlformats.org/officeDocument/2006/relationships/chart" Target="../charts/chart35.xml"/><Relationship Id="rId43" Type="http://schemas.openxmlformats.org/officeDocument/2006/relationships/chart" Target="../charts/chart43.xml"/><Relationship Id="rId48" Type="http://schemas.openxmlformats.org/officeDocument/2006/relationships/chart" Target="../charts/chart48.xml"/><Relationship Id="rId56" Type="http://schemas.openxmlformats.org/officeDocument/2006/relationships/chart" Target="../charts/chart56.xml"/><Relationship Id="rId64" Type="http://schemas.openxmlformats.org/officeDocument/2006/relationships/chart" Target="../charts/chart64.xml"/><Relationship Id="rId69" Type="http://schemas.openxmlformats.org/officeDocument/2006/relationships/chart" Target="../charts/chart69.xml"/><Relationship Id="rId8" Type="http://schemas.openxmlformats.org/officeDocument/2006/relationships/chart" Target="../charts/chart8.xml"/><Relationship Id="rId51" Type="http://schemas.openxmlformats.org/officeDocument/2006/relationships/chart" Target="../charts/chart51.xml"/><Relationship Id="rId3" Type="http://schemas.openxmlformats.org/officeDocument/2006/relationships/chart" Target="../charts/chart3.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33" Type="http://schemas.openxmlformats.org/officeDocument/2006/relationships/chart" Target="../charts/chart33.xml"/><Relationship Id="rId38" Type="http://schemas.openxmlformats.org/officeDocument/2006/relationships/chart" Target="../charts/chart38.xml"/><Relationship Id="rId46" Type="http://schemas.openxmlformats.org/officeDocument/2006/relationships/chart" Target="../charts/chart46.xml"/><Relationship Id="rId59" Type="http://schemas.openxmlformats.org/officeDocument/2006/relationships/chart" Target="../charts/chart59.xml"/><Relationship Id="rId67" Type="http://schemas.openxmlformats.org/officeDocument/2006/relationships/chart" Target="../charts/chart67.xml"/><Relationship Id="rId20" Type="http://schemas.openxmlformats.org/officeDocument/2006/relationships/chart" Target="../charts/chart20.xml"/><Relationship Id="rId41" Type="http://schemas.openxmlformats.org/officeDocument/2006/relationships/chart" Target="../charts/chart41.xml"/><Relationship Id="rId54" Type="http://schemas.openxmlformats.org/officeDocument/2006/relationships/chart" Target="../charts/chart54.xml"/><Relationship Id="rId62" Type="http://schemas.openxmlformats.org/officeDocument/2006/relationships/chart" Target="../charts/chart62.xml"/><Relationship Id="rId70" Type="http://schemas.openxmlformats.org/officeDocument/2006/relationships/chart" Target="../charts/chart70.xml"/></Relationships>
</file>

<file path=xl/drawings/_rels/drawing76.xml.rels><?xml version="1.0" encoding="UTF-8" standalone="yes"?>
<Relationships xmlns="http://schemas.openxmlformats.org/package/2006/relationships"><Relationship Id="rId8" Type="http://schemas.openxmlformats.org/officeDocument/2006/relationships/chart" Target="../charts/chart79.xml"/><Relationship Id="rId13" Type="http://schemas.openxmlformats.org/officeDocument/2006/relationships/chart" Target="../charts/chart84.xml"/><Relationship Id="rId18" Type="http://schemas.openxmlformats.org/officeDocument/2006/relationships/chart" Target="../charts/chart89.xml"/><Relationship Id="rId26" Type="http://schemas.openxmlformats.org/officeDocument/2006/relationships/chart" Target="../charts/chart97.xml"/><Relationship Id="rId39" Type="http://schemas.openxmlformats.org/officeDocument/2006/relationships/chart" Target="../charts/chart110.xml"/><Relationship Id="rId3" Type="http://schemas.openxmlformats.org/officeDocument/2006/relationships/chart" Target="../charts/chart74.xml"/><Relationship Id="rId21" Type="http://schemas.openxmlformats.org/officeDocument/2006/relationships/chart" Target="../charts/chart92.xml"/><Relationship Id="rId34" Type="http://schemas.openxmlformats.org/officeDocument/2006/relationships/chart" Target="../charts/chart105.xml"/><Relationship Id="rId42" Type="http://schemas.openxmlformats.org/officeDocument/2006/relationships/chart" Target="../charts/chart113.xml"/><Relationship Id="rId7" Type="http://schemas.openxmlformats.org/officeDocument/2006/relationships/chart" Target="../charts/chart78.xml"/><Relationship Id="rId12" Type="http://schemas.openxmlformats.org/officeDocument/2006/relationships/chart" Target="../charts/chart83.xml"/><Relationship Id="rId17" Type="http://schemas.openxmlformats.org/officeDocument/2006/relationships/chart" Target="../charts/chart88.xml"/><Relationship Id="rId25" Type="http://schemas.openxmlformats.org/officeDocument/2006/relationships/chart" Target="../charts/chart96.xml"/><Relationship Id="rId33" Type="http://schemas.openxmlformats.org/officeDocument/2006/relationships/chart" Target="../charts/chart104.xml"/><Relationship Id="rId38" Type="http://schemas.openxmlformats.org/officeDocument/2006/relationships/chart" Target="../charts/chart109.xml"/><Relationship Id="rId2" Type="http://schemas.openxmlformats.org/officeDocument/2006/relationships/chart" Target="../charts/chart73.xml"/><Relationship Id="rId16" Type="http://schemas.openxmlformats.org/officeDocument/2006/relationships/chart" Target="../charts/chart87.xml"/><Relationship Id="rId20" Type="http://schemas.openxmlformats.org/officeDocument/2006/relationships/chart" Target="../charts/chart91.xml"/><Relationship Id="rId29" Type="http://schemas.openxmlformats.org/officeDocument/2006/relationships/chart" Target="../charts/chart100.xml"/><Relationship Id="rId41" Type="http://schemas.openxmlformats.org/officeDocument/2006/relationships/chart" Target="../charts/chart112.xml"/><Relationship Id="rId1" Type="http://schemas.openxmlformats.org/officeDocument/2006/relationships/chart" Target="../charts/chart72.xml"/><Relationship Id="rId6" Type="http://schemas.openxmlformats.org/officeDocument/2006/relationships/chart" Target="../charts/chart77.xml"/><Relationship Id="rId11" Type="http://schemas.openxmlformats.org/officeDocument/2006/relationships/chart" Target="../charts/chart82.xml"/><Relationship Id="rId24" Type="http://schemas.openxmlformats.org/officeDocument/2006/relationships/chart" Target="../charts/chart95.xml"/><Relationship Id="rId32" Type="http://schemas.openxmlformats.org/officeDocument/2006/relationships/chart" Target="../charts/chart103.xml"/><Relationship Id="rId37" Type="http://schemas.openxmlformats.org/officeDocument/2006/relationships/chart" Target="../charts/chart108.xml"/><Relationship Id="rId40" Type="http://schemas.openxmlformats.org/officeDocument/2006/relationships/chart" Target="../charts/chart111.xml"/><Relationship Id="rId5" Type="http://schemas.openxmlformats.org/officeDocument/2006/relationships/chart" Target="../charts/chart76.xml"/><Relationship Id="rId15" Type="http://schemas.openxmlformats.org/officeDocument/2006/relationships/chart" Target="../charts/chart86.xml"/><Relationship Id="rId23" Type="http://schemas.openxmlformats.org/officeDocument/2006/relationships/chart" Target="../charts/chart94.xml"/><Relationship Id="rId28" Type="http://schemas.openxmlformats.org/officeDocument/2006/relationships/chart" Target="../charts/chart99.xml"/><Relationship Id="rId36" Type="http://schemas.openxmlformats.org/officeDocument/2006/relationships/chart" Target="../charts/chart107.xml"/><Relationship Id="rId10" Type="http://schemas.openxmlformats.org/officeDocument/2006/relationships/chart" Target="../charts/chart81.xml"/><Relationship Id="rId19" Type="http://schemas.openxmlformats.org/officeDocument/2006/relationships/chart" Target="../charts/chart90.xml"/><Relationship Id="rId31" Type="http://schemas.openxmlformats.org/officeDocument/2006/relationships/chart" Target="../charts/chart102.xml"/><Relationship Id="rId4" Type="http://schemas.openxmlformats.org/officeDocument/2006/relationships/chart" Target="../charts/chart75.xml"/><Relationship Id="rId9" Type="http://schemas.openxmlformats.org/officeDocument/2006/relationships/chart" Target="../charts/chart80.xml"/><Relationship Id="rId14" Type="http://schemas.openxmlformats.org/officeDocument/2006/relationships/chart" Target="../charts/chart85.xml"/><Relationship Id="rId22" Type="http://schemas.openxmlformats.org/officeDocument/2006/relationships/chart" Target="../charts/chart93.xml"/><Relationship Id="rId27" Type="http://schemas.openxmlformats.org/officeDocument/2006/relationships/chart" Target="../charts/chart98.xml"/><Relationship Id="rId30" Type="http://schemas.openxmlformats.org/officeDocument/2006/relationships/chart" Target="../charts/chart101.xml"/><Relationship Id="rId35" Type="http://schemas.openxmlformats.org/officeDocument/2006/relationships/chart" Target="../charts/chart106.xml"/><Relationship Id="rId43" Type="http://schemas.openxmlformats.org/officeDocument/2006/relationships/chart" Target="../charts/chart114.xml"/></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0</xdr:row>
      <xdr:rowOff>0</xdr:rowOff>
    </xdr:from>
    <xdr:to>
      <xdr:col>3</xdr:col>
      <xdr:colOff>1463675</xdr:colOff>
      <xdr:row>6</xdr:row>
      <xdr:rowOff>53975</xdr:rowOff>
    </xdr:to>
    <xdr:pic>
      <xdr:nvPicPr>
        <xdr:cNvPr id="2" name="Picture 1">
          <a:extLst>
            <a:ext uri="{FF2B5EF4-FFF2-40B4-BE49-F238E27FC236}">
              <a16:creationId xmlns:a16="http://schemas.microsoft.com/office/drawing/2014/main" id="{7AB5E3FF-9ADD-4D43-ACBE-68149CD40B94}"/>
            </a:ext>
          </a:extLst>
        </xdr:cNvPr>
        <xdr:cNvPicPr>
          <a:picLocks noChangeAspect="1"/>
        </xdr:cNvPicPr>
      </xdr:nvPicPr>
      <xdr:blipFill>
        <a:blip xmlns:r="http://schemas.openxmlformats.org/officeDocument/2006/relationships" r:embed="rId1"/>
        <a:stretch>
          <a:fillRect/>
        </a:stretch>
      </xdr:blipFill>
      <xdr:spPr>
        <a:xfrm>
          <a:off x="180975" y="0"/>
          <a:ext cx="3057525" cy="1133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1403</xdr:colOff>
      <xdr:row>0</xdr:row>
      <xdr:rowOff>0</xdr:rowOff>
    </xdr:from>
    <xdr:to>
      <xdr:col>3</xdr:col>
      <xdr:colOff>2080218</xdr:colOff>
      <xdr:row>1</xdr:row>
      <xdr:rowOff>121161</xdr:rowOff>
    </xdr:to>
    <xdr:pic>
      <xdr:nvPicPr>
        <xdr:cNvPr id="3" name="Picture 2">
          <a:extLst>
            <a:ext uri="{FF2B5EF4-FFF2-40B4-BE49-F238E27FC236}">
              <a16:creationId xmlns:a16="http://schemas.microsoft.com/office/drawing/2014/main" id="{DB64C63B-1197-47DF-983C-D8C5E78A1768}"/>
            </a:ext>
          </a:extLst>
        </xdr:cNvPr>
        <xdr:cNvPicPr>
          <a:picLocks noChangeAspect="1"/>
        </xdr:cNvPicPr>
      </xdr:nvPicPr>
      <xdr:blipFill>
        <a:blip xmlns:r="http://schemas.openxmlformats.org/officeDocument/2006/relationships" r:embed="rId1"/>
        <a:stretch>
          <a:fillRect/>
        </a:stretch>
      </xdr:blipFill>
      <xdr:spPr>
        <a:xfrm>
          <a:off x="1403" y="0"/>
          <a:ext cx="2874433" cy="9167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2</xdr:col>
      <xdr:colOff>1285876</xdr:colOff>
      <xdr:row>4</xdr:row>
      <xdr:rowOff>73617</xdr:rowOff>
    </xdr:to>
    <xdr:pic>
      <xdr:nvPicPr>
        <xdr:cNvPr id="3" name="Picture 2">
          <a:extLst>
            <a:ext uri="{FF2B5EF4-FFF2-40B4-BE49-F238E27FC236}">
              <a16:creationId xmlns:a16="http://schemas.microsoft.com/office/drawing/2014/main" id="{78C21EC5-366B-4579-89DA-B2F84CD7B908}"/>
            </a:ext>
          </a:extLst>
        </xdr:cNvPr>
        <xdr:cNvPicPr>
          <a:picLocks noChangeAspect="1"/>
        </xdr:cNvPicPr>
      </xdr:nvPicPr>
      <xdr:blipFill>
        <a:blip xmlns:r="http://schemas.openxmlformats.org/officeDocument/2006/relationships" r:embed="rId1"/>
        <a:stretch>
          <a:fillRect/>
        </a:stretch>
      </xdr:blipFill>
      <xdr:spPr>
        <a:xfrm>
          <a:off x="57151" y="85725"/>
          <a:ext cx="2133600" cy="7594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23</xdr:row>
      <xdr:rowOff>0</xdr:rowOff>
    </xdr:from>
    <xdr:to>
      <xdr:col>3</xdr:col>
      <xdr:colOff>0</xdr:colOff>
      <xdr:row>23</xdr:row>
      <xdr:rowOff>0</xdr:rowOff>
    </xdr:to>
    <xdr:sp macro="" textlink="">
      <xdr:nvSpPr>
        <xdr:cNvPr id="5667" name="Line 4">
          <a:extLst>
            <a:ext uri="{FF2B5EF4-FFF2-40B4-BE49-F238E27FC236}">
              <a16:creationId xmlns:a16="http://schemas.microsoft.com/office/drawing/2014/main" id="{00000000-0008-0000-0A00-000023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5668" name="Line 9">
          <a:extLst>
            <a:ext uri="{FF2B5EF4-FFF2-40B4-BE49-F238E27FC236}">
              <a16:creationId xmlns:a16="http://schemas.microsoft.com/office/drawing/2014/main" id="{00000000-0008-0000-0A00-000024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5669" name="Line 10">
          <a:extLst>
            <a:ext uri="{FF2B5EF4-FFF2-40B4-BE49-F238E27FC236}">
              <a16:creationId xmlns:a16="http://schemas.microsoft.com/office/drawing/2014/main" id="{00000000-0008-0000-0A00-000025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47625</xdr:colOff>
      <xdr:row>23</xdr:row>
      <xdr:rowOff>0</xdr:rowOff>
    </xdr:from>
    <xdr:to>
      <xdr:col>8</xdr:col>
      <xdr:colOff>466725</xdr:colOff>
      <xdr:row>23</xdr:row>
      <xdr:rowOff>0</xdr:rowOff>
    </xdr:to>
    <xdr:sp macro="" textlink="">
      <xdr:nvSpPr>
        <xdr:cNvPr id="5670" name="Line 37">
          <a:extLst>
            <a:ext uri="{FF2B5EF4-FFF2-40B4-BE49-F238E27FC236}">
              <a16:creationId xmlns:a16="http://schemas.microsoft.com/office/drawing/2014/main" id="{00000000-0008-0000-0A00-000026160000}"/>
            </a:ext>
          </a:extLst>
        </xdr:cNvPr>
        <xdr:cNvSpPr>
          <a:spLocks noChangeShapeType="1"/>
        </xdr:cNvSpPr>
      </xdr:nvSpPr>
      <xdr:spPr bwMode="auto">
        <a:xfrm>
          <a:off x="4581525" y="952500"/>
          <a:ext cx="16954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5671" name="Line 39">
          <a:extLst>
            <a:ext uri="{FF2B5EF4-FFF2-40B4-BE49-F238E27FC236}">
              <a16:creationId xmlns:a16="http://schemas.microsoft.com/office/drawing/2014/main" id="{00000000-0008-0000-0A00-000027160000}"/>
            </a:ext>
          </a:extLst>
        </xdr:cNvPr>
        <xdr:cNvSpPr>
          <a:spLocks noChangeShapeType="1"/>
        </xdr:cNvSpPr>
      </xdr:nvSpPr>
      <xdr:spPr bwMode="auto">
        <a:xfrm>
          <a:off x="3305175" y="952500"/>
          <a:ext cx="10858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31</xdr:row>
      <xdr:rowOff>0</xdr:rowOff>
    </xdr:from>
    <xdr:to>
      <xdr:col>3</xdr:col>
      <xdr:colOff>0</xdr:colOff>
      <xdr:row>31</xdr:row>
      <xdr:rowOff>0</xdr:rowOff>
    </xdr:to>
    <xdr:graphicFrame macro="">
      <xdr:nvGraphicFramePr>
        <xdr:cNvPr id="5672" name="Chart 14">
          <a:extLst>
            <a:ext uri="{FF2B5EF4-FFF2-40B4-BE49-F238E27FC236}">
              <a16:creationId xmlns:a16="http://schemas.microsoft.com/office/drawing/2014/main" id="{00000000-0008-0000-0A00-000028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3" name="Chart 1">
          <a:extLst>
            <a:ext uri="{FF2B5EF4-FFF2-40B4-BE49-F238E27FC236}">
              <a16:creationId xmlns:a16="http://schemas.microsoft.com/office/drawing/2014/main" id="{00000000-0008-0000-0A00-000029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4" name="Chart 2">
          <a:extLst>
            <a:ext uri="{FF2B5EF4-FFF2-40B4-BE49-F238E27FC236}">
              <a16:creationId xmlns:a16="http://schemas.microsoft.com/office/drawing/2014/main" id="{00000000-0008-0000-0A00-00002A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5" name="Chart 15">
          <a:extLst>
            <a:ext uri="{FF2B5EF4-FFF2-40B4-BE49-F238E27FC236}">
              <a16:creationId xmlns:a16="http://schemas.microsoft.com/office/drawing/2014/main" id="{00000000-0008-0000-0A00-00002B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5676" name="Line 20">
          <a:extLst>
            <a:ext uri="{FF2B5EF4-FFF2-40B4-BE49-F238E27FC236}">
              <a16:creationId xmlns:a16="http://schemas.microsoft.com/office/drawing/2014/main" id="{00000000-0008-0000-0A00-00002C160000}"/>
            </a:ext>
          </a:extLst>
        </xdr:cNvPr>
        <xdr:cNvSpPr>
          <a:spLocks noChangeShapeType="1"/>
        </xdr:cNvSpPr>
      </xdr:nvSpPr>
      <xdr:spPr bwMode="auto">
        <a:xfrm>
          <a:off x="2657475" y="4953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43</xdr:row>
      <xdr:rowOff>0</xdr:rowOff>
    </xdr:from>
    <xdr:to>
      <xdr:col>3</xdr:col>
      <xdr:colOff>0</xdr:colOff>
      <xdr:row>43</xdr:row>
      <xdr:rowOff>0</xdr:rowOff>
    </xdr:to>
    <xdr:sp macro="" textlink="">
      <xdr:nvSpPr>
        <xdr:cNvPr id="5677" name="Line 21">
          <a:extLst>
            <a:ext uri="{FF2B5EF4-FFF2-40B4-BE49-F238E27FC236}">
              <a16:creationId xmlns:a16="http://schemas.microsoft.com/office/drawing/2014/main" id="{00000000-0008-0000-0A00-00002D160000}"/>
            </a:ext>
          </a:extLst>
        </xdr:cNvPr>
        <xdr:cNvSpPr>
          <a:spLocks noChangeShapeType="1"/>
        </xdr:cNvSpPr>
      </xdr:nvSpPr>
      <xdr:spPr bwMode="auto">
        <a:xfrm>
          <a:off x="2657475" y="476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41</xdr:row>
      <xdr:rowOff>0</xdr:rowOff>
    </xdr:from>
    <xdr:to>
      <xdr:col>3</xdr:col>
      <xdr:colOff>0</xdr:colOff>
      <xdr:row>41</xdr:row>
      <xdr:rowOff>0</xdr:rowOff>
    </xdr:to>
    <xdr:sp macro="" textlink="">
      <xdr:nvSpPr>
        <xdr:cNvPr id="5678" name="Line 22">
          <a:extLst>
            <a:ext uri="{FF2B5EF4-FFF2-40B4-BE49-F238E27FC236}">
              <a16:creationId xmlns:a16="http://schemas.microsoft.com/office/drawing/2014/main" id="{00000000-0008-0000-0A00-00002E160000}"/>
            </a:ext>
          </a:extLst>
        </xdr:cNvPr>
        <xdr:cNvSpPr>
          <a:spLocks noChangeShapeType="1"/>
        </xdr:cNvSpPr>
      </xdr:nvSpPr>
      <xdr:spPr bwMode="auto">
        <a:xfrm>
          <a:off x="2657475"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5679" name="Chart 36">
          <a:extLst>
            <a:ext uri="{FF2B5EF4-FFF2-40B4-BE49-F238E27FC236}">
              <a16:creationId xmlns:a16="http://schemas.microsoft.com/office/drawing/2014/main" id="{00000000-0008-0000-0A00-00002F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5680" name="Chart 42">
          <a:extLst>
            <a:ext uri="{FF2B5EF4-FFF2-40B4-BE49-F238E27FC236}">
              <a16:creationId xmlns:a16="http://schemas.microsoft.com/office/drawing/2014/main" id="{00000000-0008-0000-0A00-000030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16" name="Chart 14">
          <a:extLst>
            <a:ext uri="{FF2B5EF4-FFF2-40B4-BE49-F238E27FC236}">
              <a16:creationId xmlns:a16="http://schemas.microsoft.com/office/drawing/2014/main" id="{00000000-0008-0000-0A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55</xdr:row>
      <xdr:rowOff>0</xdr:rowOff>
    </xdr:from>
    <xdr:to>
      <xdr:col>4</xdr:col>
      <xdr:colOff>0</xdr:colOff>
      <xdr:row>55</xdr:row>
      <xdr:rowOff>0</xdr:rowOff>
    </xdr:to>
    <xdr:graphicFrame macro="">
      <xdr:nvGraphicFramePr>
        <xdr:cNvPr id="17" name="Chart 14">
          <a:extLst>
            <a:ext uri="{FF2B5EF4-FFF2-40B4-BE49-F238E27FC236}">
              <a16:creationId xmlns:a16="http://schemas.microsoft.com/office/drawing/2014/main" id="{00000000-0008-0000-0A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0</xdr:colOff>
      <xdr:row>55</xdr:row>
      <xdr:rowOff>0</xdr:rowOff>
    </xdr:from>
    <xdr:to>
      <xdr:col>5</xdr:col>
      <xdr:colOff>0</xdr:colOff>
      <xdr:row>55</xdr:row>
      <xdr:rowOff>0</xdr:rowOff>
    </xdr:to>
    <xdr:graphicFrame macro="">
      <xdr:nvGraphicFramePr>
        <xdr:cNvPr id="18" name="Chart 14">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0</xdr:colOff>
      <xdr:row>55</xdr:row>
      <xdr:rowOff>0</xdr:rowOff>
    </xdr:from>
    <xdr:to>
      <xdr:col>6</xdr:col>
      <xdr:colOff>0</xdr:colOff>
      <xdr:row>55</xdr:row>
      <xdr:rowOff>0</xdr:rowOff>
    </xdr:to>
    <xdr:graphicFrame macro="">
      <xdr:nvGraphicFramePr>
        <xdr:cNvPr id="19" name="Chart 14">
          <a:extLst>
            <a:ext uri="{FF2B5EF4-FFF2-40B4-BE49-F238E27FC236}">
              <a16:creationId xmlns:a16="http://schemas.microsoft.com/office/drawing/2014/main" id="{00000000-0008-0000-0A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0</xdr:colOff>
      <xdr:row>55</xdr:row>
      <xdr:rowOff>0</xdr:rowOff>
    </xdr:from>
    <xdr:to>
      <xdr:col>6</xdr:col>
      <xdr:colOff>0</xdr:colOff>
      <xdr:row>55</xdr:row>
      <xdr:rowOff>0</xdr:rowOff>
    </xdr:to>
    <xdr:graphicFrame macro="">
      <xdr:nvGraphicFramePr>
        <xdr:cNvPr id="20" name="Chart 14">
          <a:extLst>
            <a:ext uri="{FF2B5EF4-FFF2-40B4-BE49-F238E27FC236}">
              <a16:creationId xmlns:a16="http://schemas.microsoft.com/office/drawing/2014/main" id="{00000000-0008-0000-0A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xdr:col>
      <xdr:colOff>0</xdr:colOff>
      <xdr:row>55</xdr:row>
      <xdr:rowOff>0</xdr:rowOff>
    </xdr:from>
    <xdr:to>
      <xdr:col>7</xdr:col>
      <xdr:colOff>0</xdr:colOff>
      <xdr:row>55</xdr:row>
      <xdr:rowOff>0</xdr:rowOff>
    </xdr:to>
    <xdr:graphicFrame macro="">
      <xdr:nvGraphicFramePr>
        <xdr:cNvPr id="21" name="Chart 14">
          <a:extLst>
            <a:ext uri="{FF2B5EF4-FFF2-40B4-BE49-F238E27FC236}">
              <a16:creationId xmlns:a16="http://schemas.microsoft.com/office/drawing/2014/main" id="{00000000-0008-0000-0A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xdr:col>
      <xdr:colOff>0</xdr:colOff>
      <xdr:row>55</xdr:row>
      <xdr:rowOff>0</xdr:rowOff>
    </xdr:from>
    <xdr:to>
      <xdr:col>7</xdr:col>
      <xdr:colOff>0</xdr:colOff>
      <xdr:row>55</xdr:row>
      <xdr:rowOff>0</xdr:rowOff>
    </xdr:to>
    <xdr:graphicFrame macro="">
      <xdr:nvGraphicFramePr>
        <xdr:cNvPr id="22" name="Chart 14">
          <a:extLst>
            <a:ext uri="{FF2B5EF4-FFF2-40B4-BE49-F238E27FC236}">
              <a16:creationId xmlns:a16="http://schemas.microsoft.com/office/drawing/2014/main" id="{00000000-0008-0000-0A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6</xdr:col>
      <xdr:colOff>0</xdr:colOff>
      <xdr:row>55</xdr:row>
      <xdr:rowOff>0</xdr:rowOff>
    </xdr:from>
    <xdr:to>
      <xdr:col>8</xdr:col>
      <xdr:colOff>0</xdr:colOff>
      <xdr:row>55</xdr:row>
      <xdr:rowOff>0</xdr:rowOff>
    </xdr:to>
    <xdr:graphicFrame macro="">
      <xdr:nvGraphicFramePr>
        <xdr:cNvPr id="23" name="Chart 14">
          <a:extLst>
            <a:ext uri="{FF2B5EF4-FFF2-40B4-BE49-F238E27FC236}">
              <a16:creationId xmlns:a16="http://schemas.microsoft.com/office/drawing/2014/main" id="{00000000-0008-0000-0A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6</xdr:col>
      <xdr:colOff>0</xdr:colOff>
      <xdr:row>55</xdr:row>
      <xdr:rowOff>0</xdr:rowOff>
    </xdr:from>
    <xdr:to>
      <xdr:col>8</xdr:col>
      <xdr:colOff>0</xdr:colOff>
      <xdr:row>55</xdr:row>
      <xdr:rowOff>0</xdr:rowOff>
    </xdr:to>
    <xdr:graphicFrame macro="">
      <xdr:nvGraphicFramePr>
        <xdr:cNvPr id="24" name="Chart 14">
          <a:extLst>
            <a:ext uri="{FF2B5EF4-FFF2-40B4-BE49-F238E27FC236}">
              <a16:creationId xmlns:a16="http://schemas.microsoft.com/office/drawing/2014/main" id="{00000000-0008-0000-0A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7</xdr:col>
      <xdr:colOff>0</xdr:colOff>
      <xdr:row>55</xdr:row>
      <xdr:rowOff>0</xdr:rowOff>
    </xdr:from>
    <xdr:to>
      <xdr:col>9</xdr:col>
      <xdr:colOff>0</xdr:colOff>
      <xdr:row>55</xdr:row>
      <xdr:rowOff>0</xdr:rowOff>
    </xdr:to>
    <xdr:graphicFrame macro="">
      <xdr:nvGraphicFramePr>
        <xdr:cNvPr id="25" name="Chart 14">
          <a:extLst>
            <a:ext uri="{FF2B5EF4-FFF2-40B4-BE49-F238E27FC236}">
              <a16:creationId xmlns:a16="http://schemas.microsoft.com/office/drawing/2014/main" id="{00000000-0008-0000-0A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7</xdr:col>
      <xdr:colOff>0</xdr:colOff>
      <xdr:row>55</xdr:row>
      <xdr:rowOff>0</xdr:rowOff>
    </xdr:from>
    <xdr:to>
      <xdr:col>9</xdr:col>
      <xdr:colOff>0</xdr:colOff>
      <xdr:row>55</xdr:row>
      <xdr:rowOff>0</xdr:rowOff>
    </xdr:to>
    <xdr:graphicFrame macro="">
      <xdr:nvGraphicFramePr>
        <xdr:cNvPr id="26" name="Chart 14">
          <a:extLst>
            <a:ext uri="{FF2B5EF4-FFF2-40B4-BE49-F238E27FC236}">
              <a16:creationId xmlns:a16="http://schemas.microsoft.com/office/drawing/2014/main" id="{00000000-0008-0000-0A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8</xdr:col>
      <xdr:colOff>0</xdr:colOff>
      <xdr:row>55</xdr:row>
      <xdr:rowOff>0</xdr:rowOff>
    </xdr:from>
    <xdr:to>
      <xdr:col>10</xdr:col>
      <xdr:colOff>0</xdr:colOff>
      <xdr:row>55</xdr:row>
      <xdr:rowOff>0</xdr:rowOff>
    </xdr:to>
    <xdr:graphicFrame macro="">
      <xdr:nvGraphicFramePr>
        <xdr:cNvPr id="27" name="Chart 14">
          <a:extLst>
            <a:ext uri="{FF2B5EF4-FFF2-40B4-BE49-F238E27FC236}">
              <a16:creationId xmlns:a16="http://schemas.microsoft.com/office/drawing/2014/main" id="{00000000-0008-0000-0A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6" name="Chart 1">
          <a:extLst>
            <a:ext uri="{FF2B5EF4-FFF2-40B4-BE49-F238E27FC236}">
              <a16:creationId xmlns:a16="http://schemas.microsoft.com/office/drawing/2014/main" id="{00000000-0008-0000-0A00-00003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7" name="Chart 2">
          <a:extLst>
            <a:ext uri="{FF2B5EF4-FFF2-40B4-BE49-F238E27FC236}">
              <a16:creationId xmlns:a16="http://schemas.microsoft.com/office/drawing/2014/main" id="{00000000-0008-0000-0A00-00003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8" name="Chart 15">
          <a:extLst>
            <a:ext uri="{FF2B5EF4-FFF2-40B4-BE49-F238E27FC236}">
              <a16:creationId xmlns:a16="http://schemas.microsoft.com/office/drawing/2014/main" id="{00000000-0008-0000-0A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59" name="Chart 36">
          <a:extLst>
            <a:ext uri="{FF2B5EF4-FFF2-40B4-BE49-F238E27FC236}">
              <a16:creationId xmlns:a16="http://schemas.microsoft.com/office/drawing/2014/main" id="{00000000-0008-0000-0A00-00003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60" name="Chart 42">
          <a:extLst>
            <a:ext uri="{FF2B5EF4-FFF2-40B4-BE49-F238E27FC236}">
              <a16:creationId xmlns:a16="http://schemas.microsoft.com/office/drawing/2014/main" id="{00000000-0008-0000-0A00-00003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1" name="Chart 1">
          <a:extLst>
            <a:ext uri="{FF2B5EF4-FFF2-40B4-BE49-F238E27FC236}">
              <a16:creationId xmlns:a16="http://schemas.microsoft.com/office/drawing/2014/main" id="{00000000-0008-0000-0A00-00003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2" name="Chart 2">
          <a:extLst>
            <a:ext uri="{FF2B5EF4-FFF2-40B4-BE49-F238E27FC236}">
              <a16:creationId xmlns:a16="http://schemas.microsoft.com/office/drawing/2014/main" id="{00000000-0008-0000-0A00-00003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3" name="Chart 15">
          <a:extLst>
            <a:ext uri="{FF2B5EF4-FFF2-40B4-BE49-F238E27FC236}">
              <a16:creationId xmlns:a16="http://schemas.microsoft.com/office/drawing/2014/main" id="{00000000-0008-0000-0A00-00003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xdr:col>
      <xdr:colOff>0</xdr:colOff>
      <xdr:row>8</xdr:row>
      <xdr:rowOff>0</xdr:rowOff>
    </xdr:from>
    <xdr:to>
      <xdr:col>3</xdr:col>
      <xdr:colOff>0</xdr:colOff>
      <xdr:row>8</xdr:row>
      <xdr:rowOff>0</xdr:rowOff>
    </xdr:to>
    <xdr:graphicFrame macro="">
      <xdr:nvGraphicFramePr>
        <xdr:cNvPr id="44" name="Chart 14">
          <a:extLst>
            <a:ext uri="{FF2B5EF4-FFF2-40B4-BE49-F238E27FC236}">
              <a16:creationId xmlns:a16="http://schemas.microsoft.com/office/drawing/2014/main" id="{00000000-0008-0000-0A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0</xdr:colOff>
      <xdr:row>31</xdr:row>
      <xdr:rowOff>0</xdr:rowOff>
    </xdr:from>
    <xdr:to>
      <xdr:col>3</xdr:col>
      <xdr:colOff>0</xdr:colOff>
      <xdr:row>31</xdr:row>
      <xdr:rowOff>0</xdr:rowOff>
    </xdr:to>
    <xdr:graphicFrame macro="">
      <xdr:nvGraphicFramePr>
        <xdr:cNvPr id="40" name="Chart 14">
          <a:extLst>
            <a:ext uri="{FF2B5EF4-FFF2-40B4-BE49-F238E27FC236}">
              <a16:creationId xmlns:a16="http://schemas.microsoft.com/office/drawing/2014/main" id="{00000000-0008-0000-0A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41" name="Chart 14">
          <a:extLst>
            <a:ext uri="{FF2B5EF4-FFF2-40B4-BE49-F238E27FC236}">
              <a16:creationId xmlns:a16="http://schemas.microsoft.com/office/drawing/2014/main" id="{00000000-0008-0000-0A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42" name="Chart 14">
          <a:extLst>
            <a:ext uri="{FF2B5EF4-FFF2-40B4-BE49-F238E27FC236}">
              <a16:creationId xmlns:a16="http://schemas.microsoft.com/office/drawing/2014/main" id="{00000000-0008-0000-0A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1" name="Chart 1">
          <a:extLst>
            <a:ext uri="{FF2B5EF4-FFF2-40B4-BE49-F238E27FC236}">
              <a16:creationId xmlns:a16="http://schemas.microsoft.com/office/drawing/2014/main" id="{00000000-0008-0000-0A00-00007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2" name="Chart 2">
          <a:extLst>
            <a:ext uri="{FF2B5EF4-FFF2-40B4-BE49-F238E27FC236}">
              <a16:creationId xmlns:a16="http://schemas.microsoft.com/office/drawing/2014/main" id="{00000000-0008-0000-0A00-00007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3</xdr:col>
      <xdr:colOff>0</xdr:colOff>
      <xdr:row>23</xdr:row>
      <xdr:rowOff>0</xdr:rowOff>
    </xdr:from>
    <xdr:to>
      <xdr:col>3</xdr:col>
      <xdr:colOff>0</xdr:colOff>
      <xdr:row>23</xdr:row>
      <xdr:rowOff>0</xdr:rowOff>
    </xdr:to>
    <xdr:sp macro="" textlink="">
      <xdr:nvSpPr>
        <xdr:cNvPr id="123" name="Line 4">
          <a:extLst>
            <a:ext uri="{FF2B5EF4-FFF2-40B4-BE49-F238E27FC236}">
              <a16:creationId xmlns:a16="http://schemas.microsoft.com/office/drawing/2014/main" id="{00000000-0008-0000-0A00-00007B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124" name="Line 9">
          <a:extLst>
            <a:ext uri="{FF2B5EF4-FFF2-40B4-BE49-F238E27FC236}">
              <a16:creationId xmlns:a16="http://schemas.microsoft.com/office/drawing/2014/main" id="{00000000-0008-0000-0A00-00007C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125" name="Line 10">
          <a:extLst>
            <a:ext uri="{FF2B5EF4-FFF2-40B4-BE49-F238E27FC236}">
              <a16:creationId xmlns:a16="http://schemas.microsoft.com/office/drawing/2014/main" id="{00000000-0008-0000-0A00-00007D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27</xdr:row>
      <xdr:rowOff>0</xdr:rowOff>
    </xdr:from>
    <xdr:to>
      <xdr:col>3</xdr:col>
      <xdr:colOff>0</xdr:colOff>
      <xdr:row>27</xdr:row>
      <xdr:rowOff>0</xdr:rowOff>
    </xdr:to>
    <xdr:sp macro="" textlink="">
      <xdr:nvSpPr>
        <xdr:cNvPr id="126" name="Line 12">
          <a:extLst>
            <a:ext uri="{FF2B5EF4-FFF2-40B4-BE49-F238E27FC236}">
              <a16:creationId xmlns:a16="http://schemas.microsoft.com/office/drawing/2014/main" id="{00000000-0008-0000-0A00-00007E000000}"/>
            </a:ext>
          </a:extLst>
        </xdr:cNvPr>
        <xdr:cNvSpPr>
          <a:spLocks noChangeShapeType="1"/>
        </xdr:cNvSpPr>
      </xdr:nvSpPr>
      <xdr:spPr bwMode="auto">
        <a:xfrm>
          <a:off x="1181100" y="1724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31</xdr:row>
      <xdr:rowOff>0</xdr:rowOff>
    </xdr:from>
    <xdr:to>
      <xdr:col>2</xdr:col>
      <xdr:colOff>0</xdr:colOff>
      <xdr:row>31</xdr:row>
      <xdr:rowOff>0</xdr:rowOff>
    </xdr:to>
    <xdr:graphicFrame macro="">
      <xdr:nvGraphicFramePr>
        <xdr:cNvPr id="127" name="Chart 14">
          <a:extLst>
            <a:ext uri="{FF2B5EF4-FFF2-40B4-BE49-F238E27FC236}">
              <a16:creationId xmlns:a16="http://schemas.microsoft.com/office/drawing/2014/main" id="{00000000-0008-0000-0A00-00007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8" name="Chart 15">
          <a:extLst>
            <a:ext uri="{FF2B5EF4-FFF2-40B4-BE49-F238E27FC236}">
              <a16:creationId xmlns:a16="http://schemas.microsoft.com/office/drawing/2014/main" id="{00000000-0008-0000-0A00-00008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129" name="Line 20">
          <a:extLst>
            <a:ext uri="{FF2B5EF4-FFF2-40B4-BE49-F238E27FC236}">
              <a16:creationId xmlns:a16="http://schemas.microsoft.com/office/drawing/2014/main" id="{00000000-0008-0000-0A00-000081000000}"/>
            </a:ext>
          </a:extLst>
        </xdr:cNvPr>
        <xdr:cNvSpPr>
          <a:spLocks noChangeShapeType="1"/>
        </xdr:cNvSpPr>
      </xdr:nvSpPr>
      <xdr:spPr bwMode="auto">
        <a:xfrm>
          <a:off x="1181100" y="42291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30" name="Line 21">
          <a:extLst>
            <a:ext uri="{FF2B5EF4-FFF2-40B4-BE49-F238E27FC236}">
              <a16:creationId xmlns:a16="http://schemas.microsoft.com/office/drawing/2014/main" id="{00000000-0008-0000-0A00-000082000000}"/>
            </a:ext>
          </a:extLst>
        </xdr:cNvPr>
        <xdr:cNvSpPr>
          <a:spLocks noChangeShapeType="1"/>
        </xdr:cNvSpPr>
      </xdr:nvSpPr>
      <xdr:spPr bwMode="auto">
        <a:xfrm>
          <a:off x="1181100" y="3981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31" name="Line 22">
          <a:extLst>
            <a:ext uri="{FF2B5EF4-FFF2-40B4-BE49-F238E27FC236}">
              <a16:creationId xmlns:a16="http://schemas.microsoft.com/office/drawing/2014/main" id="{00000000-0008-0000-0A00-000083000000}"/>
            </a:ext>
          </a:extLst>
        </xdr:cNvPr>
        <xdr:cNvSpPr>
          <a:spLocks noChangeShapeType="1"/>
        </xdr:cNvSpPr>
      </xdr:nvSpPr>
      <xdr:spPr bwMode="auto">
        <a:xfrm>
          <a:off x="1181100" y="3743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132" name="Chart 36">
          <a:extLst>
            <a:ext uri="{FF2B5EF4-FFF2-40B4-BE49-F238E27FC236}">
              <a16:creationId xmlns:a16="http://schemas.microsoft.com/office/drawing/2014/main" id="{00000000-0008-0000-0A00-00008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6</xdr:col>
      <xdr:colOff>47625</xdr:colOff>
      <xdr:row>23</xdr:row>
      <xdr:rowOff>0</xdr:rowOff>
    </xdr:from>
    <xdr:to>
      <xdr:col>8</xdr:col>
      <xdr:colOff>466725</xdr:colOff>
      <xdr:row>23</xdr:row>
      <xdr:rowOff>0</xdr:rowOff>
    </xdr:to>
    <xdr:sp macro="" textlink="">
      <xdr:nvSpPr>
        <xdr:cNvPr id="133" name="Line 37">
          <a:extLst>
            <a:ext uri="{FF2B5EF4-FFF2-40B4-BE49-F238E27FC236}">
              <a16:creationId xmlns:a16="http://schemas.microsoft.com/office/drawing/2014/main" id="{00000000-0008-0000-0A00-000085000000}"/>
            </a:ext>
          </a:extLst>
        </xdr:cNvPr>
        <xdr:cNvSpPr>
          <a:spLocks noChangeShapeType="1"/>
        </xdr:cNvSpPr>
      </xdr:nvSpPr>
      <xdr:spPr bwMode="auto">
        <a:xfrm>
          <a:off x="2828925" y="1076325"/>
          <a:ext cx="14287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134" name="Line 39">
          <a:extLst>
            <a:ext uri="{FF2B5EF4-FFF2-40B4-BE49-F238E27FC236}">
              <a16:creationId xmlns:a16="http://schemas.microsoft.com/office/drawing/2014/main" id="{00000000-0008-0000-0A00-000086000000}"/>
            </a:ext>
          </a:extLst>
        </xdr:cNvPr>
        <xdr:cNvSpPr>
          <a:spLocks noChangeShapeType="1"/>
        </xdr:cNvSpPr>
      </xdr:nvSpPr>
      <xdr:spPr bwMode="auto">
        <a:xfrm>
          <a:off x="1781175" y="1076325"/>
          <a:ext cx="971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135" name="Chart 42">
          <a:extLst>
            <a:ext uri="{FF2B5EF4-FFF2-40B4-BE49-F238E27FC236}">
              <a16:creationId xmlns:a16="http://schemas.microsoft.com/office/drawing/2014/main" id="{00000000-0008-0000-0A00-00008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6" name="Chart 1">
          <a:extLst>
            <a:ext uri="{FF2B5EF4-FFF2-40B4-BE49-F238E27FC236}">
              <a16:creationId xmlns:a16="http://schemas.microsoft.com/office/drawing/2014/main" id="{00000000-0008-0000-0A00-00008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7" name="Chart 2">
          <a:extLst>
            <a:ext uri="{FF2B5EF4-FFF2-40B4-BE49-F238E27FC236}">
              <a16:creationId xmlns:a16="http://schemas.microsoft.com/office/drawing/2014/main" id="{00000000-0008-0000-0A00-00008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8" name="Chart 15">
          <a:extLst>
            <a:ext uri="{FF2B5EF4-FFF2-40B4-BE49-F238E27FC236}">
              <a16:creationId xmlns:a16="http://schemas.microsoft.com/office/drawing/2014/main" id="{00000000-0008-0000-0A00-00008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139" name="Line 20">
          <a:extLst>
            <a:ext uri="{FF2B5EF4-FFF2-40B4-BE49-F238E27FC236}">
              <a16:creationId xmlns:a16="http://schemas.microsoft.com/office/drawing/2014/main" id="{00000000-0008-0000-0A00-00008B000000}"/>
            </a:ext>
          </a:extLst>
        </xdr:cNvPr>
        <xdr:cNvSpPr>
          <a:spLocks noChangeShapeType="1"/>
        </xdr:cNvSpPr>
      </xdr:nvSpPr>
      <xdr:spPr bwMode="auto">
        <a:xfrm>
          <a:off x="1181100" y="42291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40" name="Line 21">
          <a:extLst>
            <a:ext uri="{FF2B5EF4-FFF2-40B4-BE49-F238E27FC236}">
              <a16:creationId xmlns:a16="http://schemas.microsoft.com/office/drawing/2014/main" id="{00000000-0008-0000-0A00-00008C000000}"/>
            </a:ext>
          </a:extLst>
        </xdr:cNvPr>
        <xdr:cNvSpPr>
          <a:spLocks noChangeShapeType="1"/>
        </xdr:cNvSpPr>
      </xdr:nvSpPr>
      <xdr:spPr bwMode="auto">
        <a:xfrm>
          <a:off x="1181100" y="3981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41" name="Line 22">
          <a:extLst>
            <a:ext uri="{FF2B5EF4-FFF2-40B4-BE49-F238E27FC236}">
              <a16:creationId xmlns:a16="http://schemas.microsoft.com/office/drawing/2014/main" id="{00000000-0008-0000-0A00-00008D000000}"/>
            </a:ext>
          </a:extLst>
        </xdr:cNvPr>
        <xdr:cNvSpPr>
          <a:spLocks noChangeShapeType="1"/>
        </xdr:cNvSpPr>
      </xdr:nvSpPr>
      <xdr:spPr bwMode="auto">
        <a:xfrm>
          <a:off x="1181100" y="3743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42</xdr:row>
      <xdr:rowOff>0</xdr:rowOff>
    </xdr:from>
    <xdr:to>
      <xdr:col>9</xdr:col>
      <xdr:colOff>0</xdr:colOff>
      <xdr:row>42</xdr:row>
      <xdr:rowOff>0</xdr:rowOff>
    </xdr:to>
    <xdr:sp macro="" textlink="">
      <xdr:nvSpPr>
        <xdr:cNvPr id="142" name="Line 33">
          <a:extLst>
            <a:ext uri="{FF2B5EF4-FFF2-40B4-BE49-F238E27FC236}">
              <a16:creationId xmlns:a16="http://schemas.microsoft.com/office/drawing/2014/main" id="{00000000-0008-0000-0A00-00008E000000}"/>
            </a:ext>
          </a:extLst>
        </xdr:cNvPr>
        <xdr:cNvSpPr>
          <a:spLocks noChangeShapeType="1"/>
        </xdr:cNvSpPr>
      </xdr:nvSpPr>
      <xdr:spPr bwMode="auto">
        <a:xfrm>
          <a:off x="1781175" y="3981450"/>
          <a:ext cx="25146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40</xdr:row>
      <xdr:rowOff>0</xdr:rowOff>
    </xdr:from>
    <xdr:to>
      <xdr:col>9</xdr:col>
      <xdr:colOff>0</xdr:colOff>
      <xdr:row>40</xdr:row>
      <xdr:rowOff>0</xdr:rowOff>
    </xdr:to>
    <xdr:sp macro="" textlink="">
      <xdr:nvSpPr>
        <xdr:cNvPr id="143" name="Line 34">
          <a:extLst>
            <a:ext uri="{FF2B5EF4-FFF2-40B4-BE49-F238E27FC236}">
              <a16:creationId xmlns:a16="http://schemas.microsoft.com/office/drawing/2014/main" id="{00000000-0008-0000-0A00-00008F000000}"/>
            </a:ext>
          </a:extLst>
        </xdr:cNvPr>
        <xdr:cNvSpPr>
          <a:spLocks noChangeShapeType="1"/>
        </xdr:cNvSpPr>
      </xdr:nvSpPr>
      <xdr:spPr bwMode="auto">
        <a:xfrm>
          <a:off x="1771650" y="3743325"/>
          <a:ext cx="25241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7" name="Line 4">
          <a:extLst>
            <a:ext uri="{FF2B5EF4-FFF2-40B4-BE49-F238E27FC236}">
              <a16:creationId xmlns:a16="http://schemas.microsoft.com/office/drawing/2014/main" id="{00000000-0008-0000-0A00-0000CF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8" name="Line 9">
          <a:extLst>
            <a:ext uri="{FF2B5EF4-FFF2-40B4-BE49-F238E27FC236}">
              <a16:creationId xmlns:a16="http://schemas.microsoft.com/office/drawing/2014/main" id="{00000000-0008-0000-0A00-0000D0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9" name="Line 10">
          <a:extLst>
            <a:ext uri="{FF2B5EF4-FFF2-40B4-BE49-F238E27FC236}">
              <a16:creationId xmlns:a16="http://schemas.microsoft.com/office/drawing/2014/main" id="{00000000-0008-0000-0A00-0000D1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47625</xdr:colOff>
      <xdr:row>23</xdr:row>
      <xdr:rowOff>0</xdr:rowOff>
    </xdr:from>
    <xdr:to>
      <xdr:col>8</xdr:col>
      <xdr:colOff>466725</xdr:colOff>
      <xdr:row>23</xdr:row>
      <xdr:rowOff>0</xdr:rowOff>
    </xdr:to>
    <xdr:sp macro="" textlink="">
      <xdr:nvSpPr>
        <xdr:cNvPr id="210" name="Line 37">
          <a:extLst>
            <a:ext uri="{FF2B5EF4-FFF2-40B4-BE49-F238E27FC236}">
              <a16:creationId xmlns:a16="http://schemas.microsoft.com/office/drawing/2014/main" id="{00000000-0008-0000-0A00-0000D2000000}"/>
            </a:ext>
          </a:extLst>
        </xdr:cNvPr>
        <xdr:cNvSpPr>
          <a:spLocks noChangeShapeType="1"/>
        </xdr:cNvSpPr>
      </xdr:nvSpPr>
      <xdr:spPr bwMode="auto">
        <a:xfrm>
          <a:off x="13801725" y="1076325"/>
          <a:ext cx="1733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211" name="Line 39">
          <a:extLst>
            <a:ext uri="{FF2B5EF4-FFF2-40B4-BE49-F238E27FC236}">
              <a16:creationId xmlns:a16="http://schemas.microsoft.com/office/drawing/2014/main" id="{00000000-0008-0000-0A00-0000D3000000}"/>
            </a:ext>
          </a:extLst>
        </xdr:cNvPr>
        <xdr:cNvSpPr>
          <a:spLocks noChangeShapeType="1"/>
        </xdr:cNvSpPr>
      </xdr:nvSpPr>
      <xdr:spPr bwMode="auto">
        <a:xfrm>
          <a:off x="12449175" y="1076325"/>
          <a:ext cx="11239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31</xdr:row>
      <xdr:rowOff>0</xdr:rowOff>
    </xdr:from>
    <xdr:to>
      <xdr:col>3</xdr:col>
      <xdr:colOff>0</xdr:colOff>
      <xdr:row>31</xdr:row>
      <xdr:rowOff>0</xdr:rowOff>
    </xdr:to>
    <xdr:graphicFrame macro="">
      <xdr:nvGraphicFramePr>
        <xdr:cNvPr id="212" name="Chart 14">
          <a:extLst>
            <a:ext uri="{FF2B5EF4-FFF2-40B4-BE49-F238E27FC236}">
              <a16:creationId xmlns:a16="http://schemas.microsoft.com/office/drawing/2014/main" id="{00000000-0008-0000-0A00-0000D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3" name="Chart 1">
          <a:extLst>
            <a:ext uri="{FF2B5EF4-FFF2-40B4-BE49-F238E27FC236}">
              <a16:creationId xmlns:a16="http://schemas.microsoft.com/office/drawing/2014/main" id="{00000000-0008-0000-0A00-0000D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4" name="Chart 2">
          <a:extLst>
            <a:ext uri="{FF2B5EF4-FFF2-40B4-BE49-F238E27FC236}">
              <a16:creationId xmlns:a16="http://schemas.microsoft.com/office/drawing/2014/main" id="{00000000-0008-0000-0A00-0000D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5" name="Chart 15">
          <a:extLst>
            <a:ext uri="{FF2B5EF4-FFF2-40B4-BE49-F238E27FC236}">
              <a16:creationId xmlns:a16="http://schemas.microsoft.com/office/drawing/2014/main" id="{00000000-0008-0000-0A00-0000D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16" name="Line 20">
          <a:extLst>
            <a:ext uri="{FF2B5EF4-FFF2-40B4-BE49-F238E27FC236}">
              <a16:creationId xmlns:a16="http://schemas.microsoft.com/office/drawing/2014/main" id="{00000000-0008-0000-0A00-0000D8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43</xdr:row>
      <xdr:rowOff>0</xdr:rowOff>
    </xdr:from>
    <xdr:to>
      <xdr:col>3</xdr:col>
      <xdr:colOff>0</xdr:colOff>
      <xdr:row>43</xdr:row>
      <xdr:rowOff>0</xdr:rowOff>
    </xdr:to>
    <xdr:sp macro="" textlink="">
      <xdr:nvSpPr>
        <xdr:cNvPr id="217" name="Line 21">
          <a:extLst>
            <a:ext uri="{FF2B5EF4-FFF2-40B4-BE49-F238E27FC236}">
              <a16:creationId xmlns:a16="http://schemas.microsoft.com/office/drawing/2014/main" id="{00000000-0008-0000-0A00-0000D9000000}"/>
            </a:ext>
          </a:extLst>
        </xdr:cNvPr>
        <xdr:cNvSpPr>
          <a:spLocks noChangeShapeType="1"/>
        </xdr:cNvSpPr>
      </xdr:nvSpPr>
      <xdr:spPr bwMode="auto">
        <a:xfrm>
          <a:off x="11782425" y="4267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41</xdr:row>
      <xdr:rowOff>0</xdr:rowOff>
    </xdr:from>
    <xdr:to>
      <xdr:col>3</xdr:col>
      <xdr:colOff>0</xdr:colOff>
      <xdr:row>41</xdr:row>
      <xdr:rowOff>0</xdr:rowOff>
    </xdr:to>
    <xdr:sp macro="" textlink="">
      <xdr:nvSpPr>
        <xdr:cNvPr id="218" name="Line 22">
          <a:extLst>
            <a:ext uri="{FF2B5EF4-FFF2-40B4-BE49-F238E27FC236}">
              <a16:creationId xmlns:a16="http://schemas.microsoft.com/office/drawing/2014/main" id="{00000000-0008-0000-0A00-0000DA000000}"/>
            </a:ext>
          </a:extLst>
        </xdr:cNvPr>
        <xdr:cNvSpPr>
          <a:spLocks noChangeShapeType="1"/>
        </xdr:cNvSpPr>
      </xdr:nvSpPr>
      <xdr:spPr bwMode="auto">
        <a:xfrm>
          <a:off x="11782425" y="3962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19" name="Chart 36">
          <a:extLst>
            <a:ext uri="{FF2B5EF4-FFF2-40B4-BE49-F238E27FC236}">
              <a16:creationId xmlns:a16="http://schemas.microsoft.com/office/drawing/2014/main" id="{00000000-0008-0000-0A00-0000D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220" name="Chart 42">
          <a:extLst>
            <a:ext uri="{FF2B5EF4-FFF2-40B4-BE49-F238E27FC236}">
              <a16:creationId xmlns:a16="http://schemas.microsoft.com/office/drawing/2014/main" id="{00000000-0008-0000-0A00-0000D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1" name="Chart 1">
          <a:extLst>
            <a:ext uri="{FF2B5EF4-FFF2-40B4-BE49-F238E27FC236}">
              <a16:creationId xmlns:a16="http://schemas.microsoft.com/office/drawing/2014/main" id="{00000000-0008-0000-0A00-0000D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2" name="Chart 2">
          <a:extLst>
            <a:ext uri="{FF2B5EF4-FFF2-40B4-BE49-F238E27FC236}">
              <a16:creationId xmlns:a16="http://schemas.microsoft.com/office/drawing/2014/main" id="{00000000-0008-0000-0A00-0000D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3" name="Chart 15">
          <a:extLst>
            <a:ext uri="{FF2B5EF4-FFF2-40B4-BE49-F238E27FC236}">
              <a16:creationId xmlns:a16="http://schemas.microsoft.com/office/drawing/2014/main" id="{00000000-0008-0000-0A00-0000D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224" name="Chart 36">
          <a:extLst>
            <a:ext uri="{FF2B5EF4-FFF2-40B4-BE49-F238E27FC236}">
              <a16:creationId xmlns:a16="http://schemas.microsoft.com/office/drawing/2014/main" id="{00000000-0008-0000-0A00-0000E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225" name="Chart 42">
          <a:extLst>
            <a:ext uri="{FF2B5EF4-FFF2-40B4-BE49-F238E27FC236}">
              <a16:creationId xmlns:a16="http://schemas.microsoft.com/office/drawing/2014/main" id="{00000000-0008-0000-0A00-0000E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6" name="Chart 1">
          <a:extLst>
            <a:ext uri="{FF2B5EF4-FFF2-40B4-BE49-F238E27FC236}">
              <a16:creationId xmlns:a16="http://schemas.microsoft.com/office/drawing/2014/main" id="{00000000-0008-0000-0A00-0000E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7" name="Chart 2">
          <a:extLst>
            <a:ext uri="{FF2B5EF4-FFF2-40B4-BE49-F238E27FC236}">
              <a16:creationId xmlns:a16="http://schemas.microsoft.com/office/drawing/2014/main" id="{00000000-0008-0000-0A00-0000E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8" name="Chart 15">
          <a:extLst>
            <a:ext uri="{FF2B5EF4-FFF2-40B4-BE49-F238E27FC236}">
              <a16:creationId xmlns:a16="http://schemas.microsoft.com/office/drawing/2014/main" id="{00000000-0008-0000-0A00-0000E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1</xdr:col>
      <xdr:colOff>0</xdr:colOff>
      <xdr:row>31</xdr:row>
      <xdr:rowOff>0</xdr:rowOff>
    </xdr:from>
    <xdr:to>
      <xdr:col>3</xdr:col>
      <xdr:colOff>0</xdr:colOff>
      <xdr:row>31</xdr:row>
      <xdr:rowOff>0</xdr:rowOff>
    </xdr:to>
    <xdr:graphicFrame macro="">
      <xdr:nvGraphicFramePr>
        <xdr:cNvPr id="229" name="Chart 14">
          <a:extLst>
            <a:ext uri="{FF2B5EF4-FFF2-40B4-BE49-F238E27FC236}">
              <a16:creationId xmlns:a16="http://schemas.microsoft.com/office/drawing/2014/main" id="{00000000-0008-0000-0A00-0000E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0" name="Chart 1">
          <a:extLst>
            <a:ext uri="{FF2B5EF4-FFF2-40B4-BE49-F238E27FC236}">
              <a16:creationId xmlns:a16="http://schemas.microsoft.com/office/drawing/2014/main" id="{00000000-0008-0000-0A00-0000E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1" name="Chart 2">
          <a:extLst>
            <a:ext uri="{FF2B5EF4-FFF2-40B4-BE49-F238E27FC236}">
              <a16:creationId xmlns:a16="http://schemas.microsoft.com/office/drawing/2014/main" id="{00000000-0008-0000-0A00-0000E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3</xdr:col>
      <xdr:colOff>0</xdr:colOff>
      <xdr:row>23</xdr:row>
      <xdr:rowOff>0</xdr:rowOff>
    </xdr:from>
    <xdr:to>
      <xdr:col>3</xdr:col>
      <xdr:colOff>0</xdr:colOff>
      <xdr:row>23</xdr:row>
      <xdr:rowOff>0</xdr:rowOff>
    </xdr:to>
    <xdr:sp macro="" textlink="">
      <xdr:nvSpPr>
        <xdr:cNvPr id="232" name="Line 4">
          <a:extLst>
            <a:ext uri="{FF2B5EF4-FFF2-40B4-BE49-F238E27FC236}">
              <a16:creationId xmlns:a16="http://schemas.microsoft.com/office/drawing/2014/main" id="{00000000-0008-0000-0A00-0000E8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33" name="Line 9">
          <a:extLst>
            <a:ext uri="{FF2B5EF4-FFF2-40B4-BE49-F238E27FC236}">
              <a16:creationId xmlns:a16="http://schemas.microsoft.com/office/drawing/2014/main" id="{00000000-0008-0000-0A00-0000E9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34" name="Line 10">
          <a:extLst>
            <a:ext uri="{FF2B5EF4-FFF2-40B4-BE49-F238E27FC236}">
              <a16:creationId xmlns:a16="http://schemas.microsoft.com/office/drawing/2014/main" id="{00000000-0008-0000-0A00-0000EA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27</xdr:row>
      <xdr:rowOff>0</xdr:rowOff>
    </xdr:from>
    <xdr:to>
      <xdr:col>3</xdr:col>
      <xdr:colOff>0</xdr:colOff>
      <xdr:row>27</xdr:row>
      <xdr:rowOff>0</xdr:rowOff>
    </xdr:to>
    <xdr:sp macro="" textlink="">
      <xdr:nvSpPr>
        <xdr:cNvPr id="235" name="Line 12">
          <a:extLst>
            <a:ext uri="{FF2B5EF4-FFF2-40B4-BE49-F238E27FC236}">
              <a16:creationId xmlns:a16="http://schemas.microsoft.com/office/drawing/2014/main" id="{00000000-0008-0000-0A00-0000EB000000}"/>
            </a:ext>
          </a:extLst>
        </xdr:cNvPr>
        <xdr:cNvSpPr>
          <a:spLocks noChangeShapeType="1"/>
        </xdr:cNvSpPr>
      </xdr:nvSpPr>
      <xdr:spPr bwMode="auto">
        <a:xfrm>
          <a:off x="11782425" y="1724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31</xdr:row>
      <xdr:rowOff>0</xdr:rowOff>
    </xdr:from>
    <xdr:to>
      <xdr:col>2</xdr:col>
      <xdr:colOff>0</xdr:colOff>
      <xdr:row>31</xdr:row>
      <xdr:rowOff>0</xdr:rowOff>
    </xdr:to>
    <xdr:graphicFrame macro="">
      <xdr:nvGraphicFramePr>
        <xdr:cNvPr id="236" name="Chart 14">
          <a:extLst>
            <a:ext uri="{FF2B5EF4-FFF2-40B4-BE49-F238E27FC236}">
              <a16:creationId xmlns:a16="http://schemas.microsoft.com/office/drawing/2014/main" id="{00000000-0008-0000-0A00-0000E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7" name="Chart 15">
          <a:extLst>
            <a:ext uri="{FF2B5EF4-FFF2-40B4-BE49-F238E27FC236}">
              <a16:creationId xmlns:a16="http://schemas.microsoft.com/office/drawing/2014/main" id="{00000000-0008-0000-0A00-0000E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38" name="Line 20">
          <a:extLst>
            <a:ext uri="{FF2B5EF4-FFF2-40B4-BE49-F238E27FC236}">
              <a16:creationId xmlns:a16="http://schemas.microsoft.com/office/drawing/2014/main" id="{00000000-0008-0000-0A00-0000EE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39" name="Line 21">
          <a:extLst>
            <a:ext uri="{FF2B5EF4-FFF2-40B4-BE49-F238E27FC236}">
              <a16:creationId xmlns:a16="http://schemas.microsoft.com/office/drawing/2014/main" id="{00000000-0008-0000-0A00-0000EF00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40" name="Line 22">
          <a:extLst>
            <a:ext uri="{FF2B5EF4-FFF2-40B4-BE49-F238E27FC236}">
              <a16:creationId xmlns:a16="http://schemas.microsoft.com/office/drawing/2014/main" id="{00000000-0008-0000-0A00-0000F000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41" name="Chart 36">
          <a:extLst>
            <a:ext uri="{FF2B5EF4-FFF2-40B4-BE49-F238E27FC236}">
              <a16:creationId xmlns:a16="http://schemas.microsoft.com/office/drawing/2014/main" id="{00000000-0008-0000-0A00-0000F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6</xdr:col>
      <xdr:colOff>47625</xdr:colOff>
      <xdr:row>23</xdr:row>
      <xdr:rowOff>0</xdr:rowOff>
    </xdr:from>
    <xdr:to>
      <xdr:col>8</xdr:col>
      <xdr:colOff>466725</xdr:colOff>
      <xdr:row>23</xdr:row>
      <xdr:rowOff>0</xdr:rowOff>
    </xdr:to>
    <xdr:sp macro="" textlink="">
      <xdr:nvSpPr>
        <xdr:cNvPr id="242" name="Line 37">
          <a:extLst>
            <a:ext uri="{FF2B5EF4-FFF2-40B4-BE49-F238E27FC236}">
              <a16:creationId xmlns:a16="http://schemas.microsoft.com/office/drawing/2014/main" id="{00000000-0008-0000-0A00-0000F2000000}"/>
            </a:ext>
          </a:extLst>
        </xdr:cNvPr>
        <xdr:cNvSpPr>
          <a:spLocks noChangeShapeType="1"/>
        </xdr:cNvSpPr>
      </xdr:nvSpPr>
      <xdr:spPr bwMode="auto">
        <a:xfrm>
          <a:off x="13801725" y="1076325"/>
          <a:ext cx="1733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243" name="Line 39">
          <a:extLst>
            <a:ext uri="{FF2B5EF4-FFF2-40B4-BE49-F238E27FC236}">
              <a16:creationId xmlns:a16="http://schemas.microsoft.com/office/drawing/2014/main" id="{00000000-0008-0000-0A00-0000F3000000}"/>
            </a:ext>
          </a:extLst>
        </xdr:cNvPr>
        <xdr:cNvSpPr>
          <a:spLocks noChangeShapeType="1"/>
        </xdr:cNvSpPr>
      </xdr:nvSpPr>
      <xdr:spPr bwMode="auto">
        <a:xfrm>
          <a:off x="12449175" y="1076325"/>
          <a:ext cx="11239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44" name="Chart 42">
          <a:extLst>
            <a:ext uri="{FF2B5EF4-FFF2-40B4-BE49-F238E27FC236}">
              <a16:creationId xmlns:a16="http://schemas.microsoft.com/office/drawing/2014/main" id="{00000000-0008-0000-0A00-0000F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5" name="Chart 1">
          <a:extLst>
            <a:ext uri="{FF2B5EF4-FFF2-40B4-BE49-F238E27FC236}">
              <a16:creationId xmlns:a16="http://schemas.microsoft.com/office/drawing/2014/main" id="{00000000-0008-0000-0A00-0000F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6" name="Chart 2">
          <a:extLst>
            <a:ext uri="{FF2B5EF4-FFF2-40B4-BE49-F238E27FC236}">
              <a16:creationId xmlns:a16="http://schemas.microsoft.com/office/drawing/2014/main" id="{00000000-0008-0000-0A00-0000F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7" name="Chart 15">
          <a:extLst>
            <a:ext uri="{FF2B5EF4-FFF2-40B4-BE49-F238E27FC236}">
              <a16:creationId xmlns:a16="http://schemas.microsoft.com/office/drawing/2014/main" id="{00000000-0008-0000-0A00-0000F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48" name="Line 20">
          <a:extLst>
            <a:ext uri="{FF2B5EF4-FFF2-40B4-BE49-F238E27FC236}">
              <a16:creationId xmlns:a16="http://schemas.microsoft.com/office/drawing/2014/main" id="{00000000-0008-0000-0A00-0000F8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49" name="Line 21">
          <a:extLst>
            <a:ext uri="{FF2B5EF4-FFF2-40B4-BE49-F238E27FC236}">
              <a16:creationId xmlns:a16="http://schemas.microsoft.com/office/drawing/2014/main" id="{00000000-0008-0000-0A00-0000F900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50" name="Line 22">
          <a:extLst>
            <a:ext uri="{FF2B5EF4-FFF2-40B4-BE49-F238E27FC236}">
              <a16:creationId xmlns:a16="http://schemas.microsoft.com/office/drawing/2014/main" id="{00000000-0008-0000-0A00-0000FA00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42</xdr:row>
      <xdr:rowOff>0</xdr:rowOff>
    </xdr:from>
    <xdr:to>
      <xdr:col>9</xdr:col>
      <xdr:colOff>0</xdr:colOff>
      <xdr:row>42</xdr:row>
      <xdr:rowOff>0</xdr:rowOff>
    </xdr:to>
    <xdr:sp macro="" textlink="">
      <xdr:nvSpPr>
        <xdr:cNvPr id="251" name="Line 33">
          <a:extLst>
            <a:ext uri="{FF2B5EF4-FFF2-40B4-BE49-F238E27FC236}">
              <a16:creationId xmlns:a16="http://schemas.microsoft.com/office/drawing/2014/main" id="{00000000-0008-0000-0A00-0000FB000000}"/>
            </a:ext>
          </a:extLst>
        </xdr:cNvPr>
        <xdr:cNvSpPr>
          <a:spLocks noChangeShapeType="1"/>
        </xdr:cNvSpPr>
      </xdr:nvSpPr>
      <xdr:spPr bwMode="auto">
        <a:xfrm>
          <a:off x="12449175" y="4114800"/>
          <a:ext cx="32766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40</xdr:row>
      <xdr:rowOff>0</xdr:rowOff>
    </xdr:from>
    <xdr:to>
      <xdr:col>9</xdr:col>
      <xdr:colOff>0</xdr:colOff>
      <xdr:row>40</xdr:row>
      <xdr:rowOff>0</xdr:rowOff>
    </xdr:to>
    <xdr:sp macro="" textlink="">
      <xdr:nvSpPr>
        <xdr:cNvPr id="252" name="Line 34">
          <a:extLst>
            <a:ext uri="{FF2B5EF4-FFF2-40B4-BE49-F238E27FC236}">
              <a16:creationId xmlns:a16="http://schemas.microsoft.com/office/drawing/2014/main" id="{00000000-0008-0000-0A00-0000FC000000}"/>
            </a:ext>
          </a:extLst>
        </xdr:cNvPr>
        <xdr:cNvSpPr>
          <a:spLocks noChangeShapeType="1"/>
        </xdr:cNvSpPr>
      </xdr:nvSpPr>
      <xdr:spPr bwMode="auto">
        <a:xfrm>
          <a:off x="12439650" y="3810000"/>
          <a:ext cx="32861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31</xdr:row>
      <xdr:rowOff>0</xdr:rowOff>
    </xdr:from>
    <xdr:to>
      <xdr:col>3</xdr:col>
      <xdr:colOff>0</xdr:colOff>
      <xdr:row>31</xdr:row>
      <xdr:rowOff>0</xdr:rowOff>
    </xdr:to>
    <xdr:graphicFrame macro="">
      <xdr:nvGraphicFramePr>
        <xdr:cNvPr id="253" name="Chart 252">
          <a:extLst>
            <a:ext uri="{FF2B5EF4-FFF2-40B4-BE49-F238E27FC236}">
              <a16:creationId xmlns:a16="http://schemas.microsoft.com/office/drawing/2014/main" id="{00000000-0008-0000-0A00-0000F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4"/>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54" name="Chart 253">
          <a:extLst>
            <a:ext uri="{FF2B5EF4-FFF2-40B4-BE49-F238E27FC236}">
              <a16:creationId xmlns:a16="http://schemas.microsoft.com/office/drawing/2014/main" id="{00000000-0008-0000-0A00-0000F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5"/>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55" name="Chart 15">
          <a:extLst>
            <a:ext uri="{FF2B5EF4-FFF2-40B4-BE49-F238E27FC236}">
              <a16:creationId xmlns:a16="http://schemas.microsoft.com/office/drawing/2014/main" id="{00000000-0008-0000-0A00-0000F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6"/>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56" name="Line 20">
          <a:extLst>
            <a:ext uri="{FF2B5EF4-FFF2-40B4-BE49-F238E27FC236}">
              <a16:creationId xmlns:a16="http://schemas.microsoft.com/office/drawing/2014/main" id="{00000000-0008-0000-0A00-00000001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57" name="Line 21">
          <a:extLst>
            <a:ext uri="{FF2B5EF4-FFF2-40B4-BE49-F238E27FC236}">
              <a16:creationId xmlns:a16="http://schemas.microsoft.com/office/drawing/2014/main" id="{00000000-0008-0000-0A00-00000101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58" name="Line 22">
          <a:extLst>
            <a:ext uri="{FF2B5EF4-FFF2-40B4-BE49-F238E27FC236}">
              <a16:creationId xmlns:a16="http://schemas.microsoft.com/office/drawing/2014/main" id="{00000000-0008-0000-0A00-00000201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59" name="Chart 36">
          <a:extLst>
            <a:ext uri="{FF2B5EF4-FFF2-40B4-BE49-F238E27FC236}">
              <a16:creationId xmlns:a16="http://schemas.microsoft.com/office/drawing/2014/main" id="{00000000-0008-0000-0A00-000003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7"/>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260" name="Chart 42">
          <a:extLst>
            <a:ext uri="{FF2B5EF4-FFF2-40B4-BE49-F238E27FC236}">
              <a16:creationId xmlns:a16="http://schemas.microsoft.com/office/drawing/2014/main" id="{00000000-0008-0000-0A00-000004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8"/>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1" name="Chart 1">
          <a:extLst>
            <a:ext uri="{FF2B5EF4-FFF2-40B4-BE49-F238E27FC236}">
              <a16:creationId xmlns:a16="http://schemas.microsoft.com/office/drawing/2014/main" id="{00000000-0008-0000-0A00-000005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9"/>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2" name="Chart 2">
          <a:extLst>
            <a:ext uri="{FF2B5EF4-FFF2-40B4-BE49-F238E27FC236}">
              <a16:creationId xmlns:a16="http://schemas.microsoft.com/office/drawing/2014/main" id="{00000000-0008-0000-0A00-000006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3" name="Chart 15">
          <a:extLst>
            <a:ext uri="{FF2B5EF4-FFF2-40B4-BE49-F238E27FC236}">
              <a16:creationId xmlns:a16="http://schemas.microsoft.com/office/drawing/2014/main" id="{00000000-0008-0000-0A00-000007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1"/>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64" name="Line 20">
          <a:extLst>
            <a:ext uri="{FF2B5EF4-FFF2-40B4-BE49-F238E27FC236}">
              <a16:creationId xmlns:a16="http://schemas.microsoft.com/office/drawing/2014/main" id="{00000000-0008-0000-0A00-00000801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65" name="Line 21">
          <a:extLst>
            <a:ext uri="{FF2B5EF4-FFF2-40B4-BE49-F238E27FC236}">
              <a16:creationId xmlns:a16="http://schemas.microsoft.com/office/drawing/2014/main" id="{00000000-0008-0000-0A00-00000901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66" name="Line 22">
          <a:extLst>
            <a:ext uri="{FF2B5EF4-FFF2-40B4-BE49-F238E27FC236}">
              <a16:creationId xmlns:a16="http://schemas.microsoft.com/office/drawing/2014/main" id="{00000000-0008-0000-0A00-00000A01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3.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6.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7.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9.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0.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5.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3.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7.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3.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9.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5.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6.xml><?xml version="1.0" encoding="utf-8"?>
<xdr:wsDr xmlns:xdr="http://schemas.openxmlformats.org/drawingml/2006/spreadsheetDrawing" xmlns:a="http://schemas.openxmlformats.org/drawingml/2006/main">
  <xdr:twoCellAnchor>
    <xdr:from>
      <xdr:col>10</xdr:col>
      <xdr:colOff>0</xdr:colOff>
      <xdr:row>27</xdr:row>
      <xdr:rowOff>0</xdr:rowOff>
    </xdr:from>
    <xdr:to>
      <xdr:col>10</xdr:col>
      <xdr:colOff>0</xdr:colOff>
      <xdr:row>27</xdr:row>
      <xdr:rowOff>0</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3" name="Chart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9525</xdr:colOff>
      <xdr:row>6</xdr:row>
      <xdr:rowOff>0</xdr:rowOff>
    </xdr:from>
    <xdr:to>
      <xdr:col>8</xdr:col>
      <xdr:colOff>466725</xdr:colOff>
      <xdr:row>6</xdr:row>
      <xdr:rowOff>0</xdr:rowOff>
    </xdr:to>
    <xdr:sp macro="" textlink="">
      <xdr:nvSpPr>
        <xdr:cNvPr id="4" name="Line 3">
          <a:extLst>
            <a:ext uri="{FF2B5EF4-FFF2-40B4-BE49-F238E27FC236}">
              <a16:creationId xmlns:a16="http://schemas.microsoft.com/office/drawing/2014/main" id="{00000000-0008-0000-0600-000004000000}"/>
            </a:ext>
          </a:extLst>
        </xdr:cNvPr>
        <xdr:cNvSpPr>
          <a:spLocks noChangeShapeType="1"/>
        </xdr:cNvSpPr>
      </xdr:nvSpPr>
      <xdr:spPr bwMode="auto">
        <a:xfrm flipV="1">
          <a:off x="3133725" y="914400"/>
          <a:ext cx="19716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5" name="Line 4">
          <a:extLst>
            <a:ext uri="{FF2B5EF4-FFF2-40B4-BE49-F238E27FC236}">
              <a16:creationId xmlns:a16="http://schemas.microsoft.com/office/drawing/2014/main" id="{00000000-0008-0000-0600-000005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6</xdr:col>
      <xdr:colOff>533400</xdr:colOff>
      <xdr:row>7</xdr:row>
      <xdr:rowOff>0</xdr:rowOff>
    </xdr:to>
    <xdr:sp macro="" textlink="">
      <xdr:nvSpPr>
        <xdr:cNvPr id="6" name="Line 5">
          <a:extLst>
            <a:ext uri="{FF2B5EF4-FFF2-40B4-BE49-F238E27FC236}">
              <a16:creationId xmlns:a16="http://schemas.microsoft.com/office/drawing/2014/main" id="{00000000-0008-0000-0600-000006000000}"/>
            </a:ext>
          </a:extLst>
        </xdr:cNvPr>
        <xdr:cNvSpPr>
          <a:spLocks noChangeShapeType="1"/>
        </xdr:cNvSpPr>
      </xdr:nvSpPr>
      <xdr:spPr bwMode="auto">
        <a:xfrm>
          <a:off x="3124200" y="1076325"/>
          <a:ext cx="10096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7</xdr:row>
      <xdr:rowOff>0</xdr:rowOff>
    </xdr:from>
    <xdr:to>
      <xdr:col>8</xdr:col>
      <xdr:colOff>533400</xdr:colOff>
      <xdr:row>7</xdr:row>
      <xdr:rowOff>0</xdr:rowOff>
    </xdr:to>
    <xdr:sp macro="" textlink="">
      <xdr:nvSpPr>
        <xdr:cNvPr id="7" name="Line 6">
          <a:extLst>
            <a:ext uri="{FF2B5EF4-FFF2-40B4-BE49-F238E27FC236}">
              <a16:creationId xmlns:a16="http://schemas.microsoft.com/office/drawing/2014/main" id="{00000000-0008-0000-0600-000007000000}"/>
            </a:ext>
          </a:extLst>
        </xdr:cNvPr>
        <xdr:cNvSpPr>
          <a:spLocks noChangeShapeType="1"/>
        </xdr:cNvSpPr>
      </xdr:nvSpPr>
      <xdr:spPr bwMode="auto">
        <a:xfrm>
          <a:off x="4133850" y="1076325"/>
          <a:ext cx="10096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76200</xdr:colOff>
      <xdr:row>6</xdr:row>
      <xdr:rowOff>0</xdr:rowOff>
    </xdr:from>
    <xdr:to>
      <xdr:col>11</xdr:col>
      <xdr:colOff>0</xdr:colOff>
      <xdr:row>6</xdr:row>
      <xdr:rowOff>0</xdr:rowOff>
    </xdr:to>
    <xdr:sp macro="" textlink="">
      <xdr:nvSpPr>
        <xdr:cNvPr id="8" name="Line 7">
          <a:extLst>
            <a:ext uri="{FF2B5EF4-FFF2-40B4-BE49-F238E27FC236}">
              <a16:creationId xmlns:a16="http://schemas.microsoft.com/office/drawing/2014/main" id="{00000000-0008-0000-0600-000008000000}"/>
            </a:ext>
          </a:extLst>
        </xdr:cNvPr>
        <xdr:cNvSpPr>
          <a:spLocks noChangeShapeType="1"/>
        </xdr:cNvSpPr>
      </xdr:nvSpPr>
      <xdr:spPr bwMode="auto">
        <a:xfrm>
          <a:off x="5219700" y="914400"/>
          <a:ext cx="10191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0</xdr:rowOff>
    </xdr:from>
    <xdr:to>
      <xdr:col>10</xdr:col>
      <xdr:colOff>0</xdr:colOff>
      <xdr:row>6</xdr:row>
      <xdr:rowOff>0</xdr:rowOff>
    </xdr:to>
    <xdr:sp macro="" textlink="">
      <xdr:nvSpPr>
        <xdr:cNvPr id="9" name="Line 8">
          <a:extLst>
            <a:ext uri="{FF2B5EF4-FFF2-40B4-BE49-F238E27FC236}">
              <a16:creationId xmlns:a16="http://schemas.microsoft.com/office/drawing/2014/main" id="{00000000-0008-0000-0600-000009000000}"/>
            </a:ext>
          </a:extLst>
        </xdr:cNvPr>
        <xdr:cNvSpPr>
          <a:spLocks noChangeShapeType="1"/>
        </xdr:cNvSpPr>
      </xdr:nvSpPr>
      <xdr:spPr bwMode="auto">
        <a:xfrm>
          <a:off x="5648325" y="914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10" name="Line 9">
          <a:extLst>
            <a:ext uri="{FF2B5EF4-FFF2-40B4-BE49-F238E27FC236}">
              <a16:creationId xmlns:a16="http://schemas.microsoft.com/office/drawing/2014/main" id="{00000000-0008-0000-0600-00000A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11" name="Line 10">
          <a:extLst>
            <a:ext uri="{FF2B5EF4-FFF2-40B4-BE49-F238E27FC236}">
              <a16:creationId xmlns:a16="http://schemas.microsoft.com/office/drawing/2014/main" id="{00000000-0008-0000-0600-00000B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23</xdr:row>
      <xdr:rowOff>0</xdr:rowOff>
    </xdr:from>
    <xdr:to>
      <xdr:col>10</xdr:col>
      <xdr:colOff>0</xdr:colOff>
      <xdr:row>23</xdr:row>
      <xdr:rowOff>0</xdr:rowOff>
    </xdr:to>
    <xdr:sp macro="" textlink="">
      <xdr:nvSpPr>
        <xdr:cNvPr id="12" name="Line 12">
          <a:extLst>
            <a:ext uri="{FF2B5EF4-FFF2-40B4-BE49-F238E27FC236}">
              <a16:creationId xmlns:a16="http://schemas.microsoft.com/office/drawing/2014/main" id="{00000000-0008-0000-0600-00000C000000}"/>
            </a:ext>
          </a:extLst>
        </xdr:cNvPr>
        <xdr:cNvSpPr>
          <a:spLocks noChangeShapeType="1"/>
        </xdr:cNvSpPr>
      </xdr:nvSpPr>
      <xdr:spPr bwMode="auto">
        <a:xfrm>
          <a:off x="5648325" y="31527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27</xdr:row>
      <xdr:rowOff>0</xdr:rowOff>
    </xdr:from>
    <xdr:to>
      <xdr:col>3</xdr:col>
      <xdr:colOff>0</xdr:colOff>
      <xdr:row>27</xdr:row>
      <xdr:rowOff>0</xdr:rowOff>
    </xdr:to>
    <xdr:graphicFrame macro="">
      <xdr:nvGraphicFramePr>
        <xdr:cNvPr id="13" name="Chart 14">
          <a:extLst>
            <a:ext uri="{FF2B5EF4-FFF2-40B4-BE49-F238E27FC236}">
              <a16:creationId xmlns:a16="http://schemas.microsoft.com/office/drawing/2014/main" id="{00000000-0008-0000-06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14" name="Chart 15">
          <a:extLst>
            <a:ext uri="{FF2B5EF4-FFF2-40B4-BE49-F238E27FC236}">
              <a16:creationId xmlns:a16="http://schemas.microsoft.com/office/drawing/2014/main" id="{00000000-0008-0000-06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0</xdr:colOff>
      <xdr:row>43</xdr:row>
      <xdr:rowOff>0</xdr:rowOff>
    </xdr:from>
    <xdr:to>
      <xdr:col>10</xdr:col>
      <xdr:colOff>0</xdr:colOff>
      <xdr:row>43</xdr:row>
      <xdr:rowOff>0</xdr:rowOff>
    </xdr:to>
    <xdr:sp macro="" textlink="">
      <xdr:nvSpPr>
        <xdr:cNvPr id="15" name="Line 19">
          <a:extLst>
            <a:ext uri="{FF2B5EF4-FFF2-40B4-BE49-F238E27FC236}">
              <a16:creationId xmlns:a16="http://schemas.microsoft.com/office/drawing/2014/main" id="{00000000-0008-0000-0600-00000F000000}"/>
            </a:ext>
          </a:extLst>
        </xdr:cNvPr>
        <xdr:cNvSpPr>
          <a:spLocks noChangeShapeType="1"/>
        </xdr:cNvSpPr>
      </xdr:nvSpPr>
      <xdr:spPr bwMode="auto">
        <a:xfrm>
          <a:off x="5648325" y="7315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40</xdr:row>
      <xdr:rowOff>0</xdr:rowOff>
    </xdr:from>
    <xdr:to>
      <xdr:col>10</xdr:col>
      <xdr:colOff>0</xdr:colOff>
      <xdr:row>40</xdr:row>
      <xdr:rowOff>0</xdr:rowOff>
    </xdr:to>
    <xdr:sp macro="" textlink="">
      <xdr:nvSpPr>
        <xdr:cNvPr id="16" name="Line 20">
          <a:extLst>
            <a:ext uri="{FF2B5EF4-FFF2-40B4-BE49-F238E27FC236}">
              <a16:creationId xmlns:a16="http://schemas.microsoft.com/office/drawing/2014/main" id="{00000000-0008-0000-0600-000010000000}"/>
            </a:ext>
          </a:extLst>
        </xdr:cNvPr>
        <xdr:cNvSpPr>
          <a:spLocks noChangeShapeType="1"/>
        </xdr:cNvSpPr>
      </xdr:nvSpPr>
      <xdr:spPr bwMode="auto">
        <a:xfrm>
          <a:off x="5648325" y="69818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38</xdr:row>
      <xdr:rowOff>0</xdr:rowOff>
    </xdr:from>
    <xdr:to>
      <xdr:col>10</xdr:col>
      <xdr:colOff>0</xdr:colOff>
      <xdr:row>38</xdr:row>
      <xdr:rowOff>0</xdr:rowOff>
    </xdr:to>
    <xdr:sp macro="" textlink="">
      <xdr:nvSpPr>
        <xdr:cNvPr id="17" name="Line 21">
          <a:extLst>
            <a:ext uri="{FF2B5EF4-FFF2-40B4-BE49-F238E27FC236}">
              <a16:creationId xmlns:a16="http://schemas.microsoft.com/office/drawing/2014/main" id="{00000000-0008-0000-0600-000011000000}"/>
            </a:ext>
          </a:extLst>
        </xdr:cNvPr>
        <xdr:cNvSpPr>
          <a:spLocks noChangeShapeType="1"/>
        </xdr:cNvSpPr>
      </xdr:nvSpPr>
      <xdr:spPr bwMode="auto">
        <a:xfrm>
          <a:off x="5648325" y="6648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36</xdr:row>
      <xdr:rowOff>0</xdr:rowOff>
    </xdr:from>
    <xdr:to>
      <xdr:col>10</xdr:col>
      <xdr:colOff>0</xdr:colOff>
      <xdr:row>36</xdr:row>
      <xdr:rowOff>0</xdr:rowOff>
    </xdr:to>
    <xdr:sp macro="" textlink="">
      <xdr:nvSpPr>
        <xdr:cNvPr id="18" name="Line 22">
          <a:extLst>
            <a:ext uri="{FF2B5EF4-FFF2-40B4-BE49-F238E27FC236}">
              <a16:creationId xmlns:a16="http://schemas.microsoft.com/office/drawing/2014/main" id="{00000000-0008-0000-0600-000012000000}"/>
            </a:ext>
          </a:extLst>
        </xdr:cNvPr>
        <xdr:cNvSpPr>
          <a:spLocks noChangeShapeType="1"/>
        </xdr:cNvSpPr>
      </xdr:nvSpPr>
      <xdr:spPr bwMode="auto">
        <a:xfrm>
          <a:off x="5648325" y="63150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58</xdr:row>
      <xdr:rowOff>0</xdr:rowOff>
    </xdr:from>
    <xdr:to>
      <xdr:col>2</xdr:col>
      <xdr:colOff>0</xdr:colOff>
      <xdr:row>58</xdr:row>
      <xdr:rowOff>0</xdr:rowOff>
    </xdr:to>
    <xdr:graphicFrame macro="">
      <xdr:nvGraphicFramePr>
        <xdr:cNvPr id="19" name="Chart 24">
          <a:extLst>
            <a:ext uri="{FF2B5EF4-FFF2-40B4-BE49-F238E27FC236}">
              <a16:creationId xmlns:a16="http://schemas.microsoft.com/office/drawing/2014/main" id="{00000000-0008-0000-06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58</xdr:row>
      <xdr:rowOff>0</xdr:rowOff>
    </xdr:from>
    <xdr:to>
      <xdr:col>3</xdr:col>
      <xdr:colOff>0</xdr:colOff>
      <xdr:row>58</xdr:row>
      <xdr:rowOff>0</xdr:rowOff>
    </xdr:to>
    <xdr:graphicFrame macro="">
      <xdr:nvGraphicFramePr>
        <xdr:cNvPr id="20" name="Chart 30">
          <a:extLst>
            <a:ext uri="{FF2B5EF4-FFF2-40B4-BE49-F238E27FC236}">
              <a16:creationId xmlns:a16="http://schemas.microsoft.com/office/drawing/2014/main" id="{00000000-0008-0000-06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0</xdr:colOff>
      <xdr:row>27</xdr:row>
      <xdr:rowOff>0</xdr:rowOff>
    </xdr:from>
    <xdr:to>
      <xdr:col>11</xdr:col>
      <xdr:colOff>0</xdr:colOff>
      <xdr:row>27</xdr:row>
      <xdr:rowOff>0</xdr:rowOff>
    </xdr:to>
    <xdr:graphicFrame macro="">
      <xdr:nvGraphicFramePr>
        <xdr:cNvPr id="21" name="Chart 36">
          <a:extLst>
            <a:ext uri="{FF2B5EF4-FFF2-40B4-BE49-F238E27FC236}">
              <a16:creationId xmlns:a16="http://schemas.microsoft.com/office/drawing/2014/main" id="{00000000-0008-0000-06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13</xdr:col>
      <xdr:colOff>47625</xdr:colOff>
      <xdr:row>7</xdr:row>
      <xdr:rowOff>0</xdr:rowOff>
    </xdr:from>
    <xdr:to>
      <xdr:col>15</xdr:col>
      <xdr:colOff>466725</xdr:colOff>
      <xdr:row>7</xdr:row>
      <xdr:rowOff>0</xdr:rowOff>
    </xdr:to>
    <xdr:sp macro="" textlink="">
      <xdr:nvSpPr>
        <xdr:cNvPr id="22" name="Line 37">
          <a:extLst>
            <a:ext uri="{FF2B5EF4-FFF2-40B4-BE49-F238E27FC236}">
              <a16:creationId xmlns:a16="http://schemas.microsoft.com/office/drawing/2014/main" id="{00000000-0008-0000-0600-000016000000}"/>
            </a:ext>
          </a:extLst>
        </xdr:cNvPr>
        <xdr:cNvSpPr>
          <a:spLocks noChangeShapeType="1"/>
        </xdr:cNvSpPr>
      </xdr:nvSpPr>
      <xdr:spPr bwMode="auto">
        <a:xfrm>
          <a:off x="7296150" y="1076325"/>
          <a:ext cx="14287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6</xdr:row>
      <xdr:rowOff>0</xdr:rowOff>
    </xdr:from>
    <xdr:to>
      <xdr:col>18</xdr:col>
      <xdr:colOff>0</xdr:colOff>
      <xdr:row>6</xdr:row>
      <xdr:rowOff>0</xdr:rowOff>
    </xdr:to>
    <xdr:sp macro="" textlink="">
      <xdr:nvSpPr>
        <xdr:cNvPr id="23" name="Line 38">
          <a:extLst>
            <a:ext uri="{FF2B5EF4-FFF2-40B4-BE49-F238E27FC236}">
              <a16:creationId xmlns:a16="http://schemas.microsoft.com/office/drawing/2014/main" id="{00000000-0008-0000-0600-000017000000}"/>
            </a:ext>
          </a:extLst>
        </xdr:cNvPr>
        <xdr:cNvSpPr>
          <a:spLocks noChangeShapeType="1"/>
        </xdr:cNvSpPr>
      </xdr:nvSpPr>
      <xdr:spPr bwMode="auto">
        <a:xfrm>
          <a:off x="6238875" y="914400"/>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9525</xdr:colOff>
      <xdr:row>7</xdr:row>
      <xdr:rowOff>0</xdr:rowOff>
    </xdr:from>
    <xdr:to>
      <xdr:col>12</xdr:col>
      <xdr:colOff>476250</xdr:colOff>
      <xdr:row>7</xdr:row>
      <xdr:rowOff>0</xdr:rowOff>
    </xdr:to>
    <xdr:sp macro="" textlink="">
      <xdr:nvSpPr>
        <xdr:cNvPr id="24" name="Line 39">
          <a:extLst>
            <a:ext uri="{FF2B5EF4-FFF2-40B4-BE49-F238E27FC236}">
              <a16:creationId xmlns:a16="http://schemas.microsoft.com/office/drawing/2014/main" id="{00000000-0008-0000-0600-000018000000}"/>
            </a:ext>
          </a:extLst>
        </xdr:cNvPr>
        <xdr:cNvSpPr>
          <a:spLocks noChangeShapeType="1"/>
        </xdr:cNvSpPr>
      </xdr:nvSpPr>
      <xdr:spPr bwMode="auto">
        <a:xfrm>
          <a:off x="6248400" y="1076325"/>
          <a:ext cx="971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38100</xdr:colOff>
      <xdr:row>7</xdr:row>
      <xdr:rowOff>0</xdr:rowOff>
    </xdr:from>
    <xdr:to>
      <xdr:col>17</xdr:col>
      <xdr:colOff>476250</xdr:colOff>
      <xdr:row>7</xdr:row>
      <xdr:rowOff>0</xdr:rowOff>
    </xdr:to>
    <xdr:sp macro="" textlink="">
      <xdr:nvSpPr>
        <xdr:cNvPr id="25" name="Line 40">
          <a:extLst>
            <a:ext uri="{FF2B5EF4-FFF2-40B4-BE49-F238E27FC236}">
              <a16:creationId xmlns:a16="http://schemas.microsoft.com/office/drawing/2014/main" id="{00000000-0008-0000-0600-000019000000}"/>
            </a:ext>
          </a:extLst>
        </xdr:cNvPr>
        <xdr:cNvSpPr>
          <a:spLocks noChangeShapeType="1"/>
        </xdr:cNvSpPr>
      </xdr:nvSpPr>
      <xdr:spPr bwMode="auto">
        <a:xfrm>
          <a:off x="8801100" y="1076325"/>
          <a:ext cx="942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27</xdr:row>
      <xdr:rowOff>0</xdr:rowOff>
    </xdr:from>
    <xdr:to>
      <xdr:col>11</xdr:col>
      <xdr:colOff>0</xdr:colOff>
      <xdr:row>27</xdr:row>
      <xdr:rowOff>0</xdr:rowOff>
    </xdr:to>
    <xdr:graphicFrame macro="">
      <xdr:nvGraphicFramePr>
        <xdr:cNvPr id="26" name="Chart 42">
          <a:extLst>
            <a:ext uri="{FF2B5EF4-FFF2-40B4-BE49-F238E27FC236}">
              <a16:creationId xmlns:a16="http://schemas.microsoft.com/office/drawing/2014/main" id="{00000000-0008-0000-06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7" name="Chart 1">
          <a:extLst>
            <a:ext uri="{FF2B5EF4-FFF2-40B4-BE49-F238E27FC236}">
              <a16:creationId xmlns:a16="http://schemas.microsoft.com/office/drawing/2014/main" id="{00000000-0008-0000-06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8" name="Chart 2">
          <a:extLst>
            <a:ext uri="{FF2B5EF4-FFF2-40B4-BE49-F238E27FC236}">
              <a16:creationId xmlns:a16="http://schemas.microsoft.com/office/drawing/2014/main" id="{00000000-0008-0000-06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9" name="Chart 15">
          <a:extLst>
            <a:ext uri="{FF2B5EF4-FFF2-40B4-BE49-F238E27FC236}">
              <a16:creationId xmlns:a16="http://schemas.microsoft.com/office/drawing/2014/main" id="{00000000-0008-0000-06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10</xdr:col>
      <xdr:colOff>0</xdr:colOff>
      <xdr:row>43</xdr:row>
      <xdr:rowOff>0</xdr:rowOff>
    </xdr:from>
    <xdr:to>
      <xdr:col>10</xdr:col>
      <xdr:colOff>0</xdr:colOff>
      <xdr:row>43</xdr:row>
      <xdr:rowOff>0</xdr:rowOff>
    </xdr:to>
    <xdr:sp macro="" textlink="">
      <xdr:nvSpPr>
        <xdr:cNvPr id="30" name="Line 19">
          <a:extLst>
            <a:ext uri="{FF2B5EF4-FFF2-40B4-BE49-F238E27FC236}">
              <a16:creationId xmlns:a16="http://schemas.microsoft.com/office/drawing/2014/main" id="{00000000-0008-0000-0600-00001E000000}"/>
            </a:ext>
          </a:extLst>
        </xdr:cNvPr>
        <xdr:cNvSpPr>
          <a:spLocks noChangeShapeType="1"/>
        </xdr:cNvSpPr>
      </xdr:nvSpPr>
      <xdr:spPr bwMode="auto">
        <a:xfrm>
          <a:off x="5648325" y="7315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40</xdr:row>
      <xdr:rowOff>0</xdr:rowOff>
    </xdr:from>
    <xdr:to>
      <xdr:col>10</xdr:col>
      <xdr:colOff>0</xdr:colOff>
      <xdr:row>40</xdr:row>
      <xdr:rowOff>0</xdr:rowOff>
    </xdr:to>
    <xdr:sp macro="" textlink="">
      <xdr:nvSpPr>
        <xdr:cNvPr id="31" name="Line 20">
          <a:extLst>
            <a:ext uri="{FF2B5EF4-FFF2-40B4-BE49-F238E27FC236}">
              <a16:creationId xmlns:a16="http://schemas.microsoft.com/office/drawing/2014/main" id="{00000000-0008-0000-0600-00001F000000}"/>
            </a:ext>
          </a:extLst>
        </xdr:cNvPr>
        <xdr:cNvSpPr>
          <a:spLocks noChangeShapeType="1"/>
        </xdr:cNvSpPr>
      </xdr:nvSpPr>
      <xdr:spPr bwMode="auto">
        <a:xfrm>
          <a:off x="5648325" y="69818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38</xdr:row>
      <xdr:rowOff>0</xdr:rowOff>
    </xdr:from>
    <xdr:to>
      <xdr:col>10</xdr:col>
      <xdr:colOff>0</xdr:colOff>
      <xdr:row>38</xdr:row>
      <xdr:rowOff>0</xdr:rowOff>
    </xdr:to>
    <xdr:sp macro="" textlink="">
      <xdr:nvSpPr>
        <xdr:cNvPr id="32" name="Line 21">
          <a:extLst>
            <a:ext uri="{FF2B5EF4-FFF2-40B4-BE49-F238E27FC236}">
              <a16:creationId xmlns:a16="http://schemas.microsoft.com/office/drawing/2014/main" id="{00000000-0008-0000-0600-000020000000}"/>
            </a:ext>
          </a:extLst>
        </xdr:cNvPr>
        <xdr:cNvSpPr>
          <a:spLocks noChangeShapeType="1"/>
        </xdr:cNvSpPr>
      </xdr:nvSpPr>
      <xdr:spPr bwMode="auto">
        <a:xfrm>
          <a:off x="5648325" y="6648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36</xdr:row>
      <xdr:rowOff>0</xdr:rowOff>
    </xdr:from>
    <xdr:to>
      <xdr:col>10</xdr:col>
      <xdr:colOff>0</xdr:colOff>
      <xdr:row>36</xdr:row>
      <xdr:rowOff>0</xdr:rowOff>
    </xdr:to>
    <xdr:sp macro="" textlink="">
      <xdr:nvSpPr>
        <xdr:cNvPr id="33" name="Line 22">
          <a:extLst>
            <a:ext uri="{FF2B5EF4-FFF2-40B4-BE49-F238E27FC236}">
              <a16:creationId xmlns:a16="http://schemas.microsoft.com/office/drawing/2014/main" id="{00000000-0008-0000-0600-000021000000}"/>
            </a:ext>
          </a:extLst>
        </xdr:cNvPr>
        <xdr:cNvSpPr>
          <a:spLocks noChangeShapeType="1"/>
        </xdr:cNvSpPr>
      </xdr:nvSpPr>
      <xdr:spPr bwMode="auto">
        <a:xfrm>
          <a:off x="5648325" y="63150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9525</xdr:colOff>
      <xdr:row>38</xdr:row>
      <xdr:rowOff>0</xdr:rowOff>
    </xdr:from>
    <xdr:to>
      <xdr:col>18</xdr:col>
      <xdr:colOff>0</xdr:colOff>
      <xdr:row>38</xdr:row>
      <xdr:rowOff>0</xdr:rowOff>
    </xdr:to>
    <xdr:sp macro="" textlink="">
      <xdr:nvSpPr>
        <xdr:cNvPr id="34" name="Line 33">
          <a:extLst>
            <a:ext uri="{FF2B5EF4-FFF2-40B4-BE49-F238E27FC236}">
              <a16:creationId xmlns:a16="http://schemas.microsoft.com/office/drawing/2014/main" id="{00000000-0008-0000-0600-000022000000}"/>
            </a:ext>
          </a:extLst>
        </xdr:cNvPr>
        <xdr:cNvSpPr>
          <a:spLocks noChangeShapeType="1"/>
        </xdr:cNvSpPr>
      </xdr:nvSpPr>
      <xdr:spPr bwMode="auto">
        <a:xfrm>
          <a:off x="6248400" y="6648450"/>
          <a:ext cx="3609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36</xdr:row>
      <xdr:rowOff>0</xdr:rowOff>
    </xdr:from>
    <xdr:to>
      <xdr:col>18</xdr:col>
      <xdr:colOff>0</xdr:colOff>
      <xdr:row>36</xdr:row>
      <xdr:rowOff>0</xdr:rowOff>
    </xdr:to>
    <xdr:sp macro="" textlink="">
      <xdr:nvSpPr>
        <xdr:cNvPr id="35" name="Line 34">
          <a:extLst>
            <a:ext uri="{FF2B5EF4-FFF2-40B4-BE49-F238E27FC236}">
              <a16:creationId xmlns:a16="http://schemas.microsoft.com/office/drawing/2014/main" id="{00000000-0008-0000-0600-000023000000}"/>
            </a:ext>
          </a:extLst>
        </xdr:cNvPr>
        <xdr:cNvSpPr>
          <a:spLocks noChangeShapeType="1"/>
        </xdr:cNvSpPr>
      </xdr:nvSpPr>
      <xdr:spPr bwMode="auto">
        <a:xfrm>
          <a:off x="6238875" y="6315075"/>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2" name="Line 4">
          <a:extLst>
            <a:ext uri="{FF2B5EF4-FFF2-40B4-BE49-F238E27FC236}">
              <a16:creationId xmlns:a16="http://schemas.microsoft.com/office/drawing/2014/main" id="{00000000-0008-0000-0600-000052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3" name="Line 9">
          <a:extLst>
            <a:ext uri="{FF2B5EF4-FFF2-40B4-BE49-F238E27FC236}">
              <a16:creationId xmlns:a16="http://schemas.microsoft.com/office/drawing/2014/main" id="{00000000-0008-0000-0600-000053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4" name="Line 10">
          <a:extLst>
            <a:ext uri="{FF2B5EF4-FFF2-40B4-BE49-F238E27FC236}">
              <a16:creationId xmlns:a16="http://schemas.microsoft.com/office/drawing/2014/main" id="{00000000-0008-0000-0600-000054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47625</xdr:colOff>
      <xdr:row>7</xdr:row>
      <xdr:rowOff>0</xdr:rowOff>
    </xdr:from>
    <xdr:to>
      <xdr:col>26</xdr:col>
      <xdr:colOff>466725</xdr:colOff>
      <xdr:row>7</xdr:row>
      <xdr:rowOff>0</xdr:rowOff>
    </xdr:to>
    <xdr:sp macro="" textlink="">
      <xdr:nvSpPr>
        <xdr:cNvPr id="85" name="Line 37">
          <a:extLst>
            <a:ext uri="{FF2B5EF4-FFF2-40B4-BE49-F238E27FC236}">
              <a16:creationId xmlns:a16="http://schemas.microsoft.com/office/drawing/2014/main" id="{00000000-0008-0000-0600-000055000000}"/>
            </a:ext>
          </a:extLst>
        </xdr:cNvPr>
        <xdr:cNvSpPr>
          <a:spLocks noChangeShapeType="1"/>
        </xdr:cNvSpPr>
      </xdr:nvSpPr>
      <xdr:spPr bwMode="auto">
        <a:xfrm>
          <a:off x="5229225" y="4381500"/>
          <a:ext cx="1714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7</xdr:row>
      <xdr:rowOff>0</xdr:rowOff>
    </xdr:from>
    <xdr:to>
      <xdr:col>23</xdr:col>
      <xdr:colOff>476250</xdr:colOff>
      <xdr:row>7</xdr:row>
      <xdr:rowOff>0</xdr:rowOff>
    </xdr:to>
    <xdr:sp macro="" textlink="">
      <xdr:nvSpPr>
        <xdr:cNvPr id="86" name="Line 39">
          <a:extLst>
            <a:ext uri="{FF2B5EF4-FFF2-40B4-BE49-F238E27FC236}">
              <a16:creationId xmlns:a16="http://schemas.microsoft.com/office/drawing/2014/main" id="{00000000-0008-0000-0600-000056000000}"/>
            </a:ext>
          </a:extLst>
        </xdr:cNvPr>
        <xdr:cNvSpPr>
          <a:spLocks noChangeShapeType="1"/>
        </xdr:cNvSpPr>
      </xdr:nvSpPr>
      <xdr:spPr bwMode="auto">
        <a:xfrm>
          <a:off x="3933825" y="4381500"/>
          <a:ext cx="10953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15</xdr:row>
      <xdr:rowOff>0</xdr:rowOff>
    </xdr:from>
    <xdr:to>
      <xdr:col>21</xdr:col>
      <xdr:colOff>0</xdr:colOff>
      <xdr:row>15</xdr:row>
      <xdr:rowOff>0</xdr:rowOff>
    </xdr:to>
    <xdr:graphicFrame macro="">
      <xdr:nvGraphicFramePr>
        <xdr:cNvPr id="87" name="Chart 14">
          <a:extLst>
            <a:ext uri="{FF2B5EF4-FFF2-40B4-BE49-F238E27FC236}">
              <a16:creationId xmlns:a16="http://schemas.microsoft.com/office/drawing/2014/main" id="{00000000-0008-0000-0600-00005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88" name="Chart 1">
          <a:extLst>
            <a:ext uri="{FF2B5EF4-FFF2-40B4-BE49-F238E27FC236}">
              <a16:creationId xmlns:a16="http://schemas.microsoft.com/office/drawing/2014/main" id="{00000000-0008-0000-0600-00005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89" name="Chart 2">
          <a:extLst>
            <a:ext uri="{FF2B5EF4-FFF2-40B4-BE49-F238E27FC236}">
              <a16:creationId xmlns:a16="http://schemas.microsoft.com/office/drawing/2014/main" id="{00000000-0008-0000-0600-00005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90" name="Chart 15">
          <a:extLst>
            <a:ext uri="{FF2B5EF4-FFF2-40B4-BE49-F238E27FC236}">
              <a16:creationId xmlns:a16="http://schemas.microsoft.com/office/drawing/2014/main" id="{00000000-0008-0000-0600-00005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91" name="Line 20">
          <a:extLst>
            <a:ext uri="{FF2B5EF4-FFF2-40B4-BE49-F238E27FC236}">
              <a16:creationId xmlns:a16="http://schemas.microsoft.com/office/drawing/2014/main" id="{00000000-0008-0000-0600-00005B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27</xdr:row>
      <xdr:rowOff>0</xdr:rowOff>
    </xdr:from>
    <xdr:to>
      <xdr:col>21</xdr:col>
      <xdr:colOff>0</xdr:colOff>
      <xdr:row>27</xdr:row>
      <xdr:rowOff>0</xdr:rowOff>
    </xdr:to>
    <xdr:sp macro="" textlink="">
      <xdr:nvSpPr>
        <xdr:cNvPr id="92" name="Line 21">
          <a:extLst>
            <a:ext uri="{FF2B5EF4-FFF2-40B4-BE49-F238E27FC236}">
              <a16:creationId xmlns:a16="http://schemas.microsoft.com/office/drawing/2014/main" id="{00000000-0008-0000-0600-00005C000000}"/>
            </a:ext>
          </a:extLst>
        </xdr:cNvPr>
        <xdr:cNvSpPr>
          <a:spLocks noChangeShapeType="1"/>
        </xdr:cNvSpPr>
      </xdr:nvSpPr>
      <xdr:spPr bwMode="auto">
        <a:xfrm>
          <a:off x="3276600" y="12392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25</xdr:row>
      <xdr:rowOff>0</xdr:rowOff>
    </xdr:from>
    <xdr:to>
      <xdr:col>21</xdr:col>
      <xdr:colOff>0</xdr:colOff>
      <xdr:row>25</xdr:row>
      <xdr:rowOff>0</xdr:rowOff>
    </xdr:to>
    <xdr:sp macro="" textlink="">
      <xdr:nvSpPr>
        <xdr:cNvPr id="93" name="Line 22">
          <a:extLst>
            <a:ext uri="{FF2B5EF4-FFF2-40B4-BE49-F238E27FC236}">
              <a16:creationId xmlns:a16="http://schemas.microsoft.com/office/drawing/2014/main" id="{00000000-0008-0000-0600-00005D000000}"/>
            </a:ext>
          </a:extLst>
        </xdr:cNvPr>
        <xdr:cNvSpPr>
          <a:spLocks noChangeShapeType="1"/>
        </xdr:cNvSpPr>
      </xdr:nvSpPr>
      <xdr:spPr bwMode="auto">
        <a:xfrm>
          <a:off x="3276600" y="11820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94" name="Chart 36">
          <a:extLst>
            <a:ext uri="{FF2B5EF4-FFF2-40B4-BE49-F238E27FC236}">
              <a16:creationId xmlns:a16="http://schemas.microsoft.com/office/drawing/2014/main" id="{00000000-0008-0000-0600-00005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22</xdr:col>
      <xdr:colOff>0</xdr:colOff>
      <xdr:row>15</xdr:row>
      <xdr:rowOff>0</xdr:rowOff>
    </xdr:from>
    <xdr:to>
      <xdr:col>22</xdr:col>
      <xdr:colOff>0</xdr:colOff>
      <xdr:row>15</xdr:row>
      <xdr:rowOff>0</xdr:rowOff>
    </xdr:to>
    <xdr:graphicFrame macro="">
      <xdr:nvGraphicFramePr>
        <xdr:cNvPr id="95" name="Chart 42">
          <a:extLst>
            <a:ext uri="{FF2B5EF4-FFF2-40B4-BE49-F238E27FC236}">
              <a16:creationId xmlns:a16="http://schemas.microsoft.com/office/drawing/2014/main" id="{00000000-0008-0000-0600-00005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6" name="Chart 1">
          <a:extLst>
            <a:ext uri="{FF2B5EF4-FFF2-40B4-BE49-F238E27FC236}">
              <a16:creationId xmlns:a16="http://schemas.microsoft.com/office/drawing/2014/main" id="{00000000-0008-0000-0600-00006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7" name="Chart 2">
          <a:extLst>
            <a:ext uri="{FF2B5EF4-FFF2-40B4-BE49-F238E27FC236}">
              <a16:creationId xmlns:a16="http://schemas.microsoft.com/office/drawing/2014/main" id="{00000000-0008-0000-0600-00006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8" name="Chart 15">
          <a:extLst>
            <a:ext uri="{FF2B5EF4-FFF2-40B4-BE49-F238E27FC236}">
              <a16:creationId xmlns:a16="http://schemas.microsoft.com/office/drawing/2014/main" id="{00000000-0008-0000-0600-00006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22</xdr:col>
      <xdr:colOff>0</xdr:colOff>
      <xdr:row>13</xdr:row>
      <xdr:rowOff>0</xdr:rowOff>
    </xdr:from>
    <xdr:to>
      <xdr:col>22</xdr:col>
      <xdr:colOff>0</xdr:colOff>
      <xdr:row>13</xdr:row>
      <xdr:rowOff>0</xdr:rowOff>
    </xdr:to>
    <xdr:graphicFrame macro="">
      <xdr:nvGraphicFramePr>
        <xdr:cNvPr id="99" name="Chart 36">
          <a:extLst>
            <a:ext uri="{FF2B5EF4-FFF2-40B4-BE49-F238E27FC236}">
              <a16:creationId xmlns:a16="http://schemas.microsoft.com/office/drawing/2014/main" id="{00000000-0008-0000-0600-00006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22</xdr:col>
      <xdr:colOff>0</xdr:colOff>
      <xdr:row>13</xdr:row>
      <xdr:rowOff>0</xdr:rowOff>
    </xdr:from>
    <xdr:to>
      <xdr:col>22</xdr:col>
      <xdr:colOff>0</xdr:colOff>
      <xdr:row>13</xdr:row>
      <xdr:rowOff>0</xdr:rowOff>
    </xdr:to>
    <xdr:graphicFrame macro="">
      <xdr:nvGraphicFramePr>
        <xdr:cNvPr id="100" name="Chart 42">
          <a:extLst>
            <a:ext uri="{FF2B5EF4-FFF2-40B4-BE49-F238E27FC236}">
              <a16:creationId xmlns:a16="http://schemas.microsoft.com/office/drawing/2014/main" id="{00000000-0008-0000-0600-00006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1" name="Chart 1">
          <a:extLst>
            <a:ext uri="{FF2B5EF4-FFF2-40B4-BE49-F238E27FC236}">
              <a16:creationId xmlns:a16="http://schemas.microsoft.com/office/drawing/2014/main" id="{00000000-0008-0000-0600-00006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2" name="Chart 2">
          <a:extLst>
            <a:ext uri="{FF2B5EF4-FFF2-40B4-BE49-F238E27FC236}">
              <a16:creationId xmlns:a16="http://schemas.microsoft.com/office/drawing/2014/main" id="{00000000-0008-0000-0600-00006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3" name="Chart 15">
          <a:extLst>
            <a:ext uri="{FF2B5EF4-FFF2-40B4-BE49-F238E27FC236}">
              <a16:creationId xmlns:a16="http://schemas.microsoft.com/office/drawing/2014/main" id="{00000000-0008-0000-0600-00006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19</xdr:col>
      <xdr:colOff>0</xdr:colOff>
      <xdr:row>15</xdr:row>
      <xdr:rowOff>0</xdr:rowOff>
    </xdr:from>
    <xdr:to>
      <xdr:col>21</xdr:col>
      <xdr:colOff>0</xdr:colOff>
      <xdr:row>15</xdr:row>
      <xdr:rowOff>0</xdr:rowOff>
    </xdr:to>
    <xdr:graphicFrame macro="">
      <xdr:nvGraphicFramePr>
        <xdr:cNvPr id="104" name="Chart 14">
          <a:extLst>
            <a:ext uri="{FF2B5EF4-FFF2-40B4-BE49-F238E27FC236}">
              <a16:creationId xmlns:a16="http://schemas.microsoft.com/office/drawing/2014/main" id="{00000000-0008-0000-0600-00006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05" name="Chart 1">
          <a:extLst>
            <a:ext uri="{FF2B5EF4-FFF2-40B4-BE49-F238E27FC236}">
              <a16:creationId xmlns:a16="http://schemas.microsoft.com/office/drawing/2014/main" id="{00000000-0008-0000-0600-00006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06" name="Chart 2">
          <a:extLst>
            <a:ext uri="{FF2B5EF4-FFF2-40B4-BE49-F238E27FC236}">
              <a16:creationId xmlns:a16="http://schemas.microsoft.com/office/drawing/2014/main" id="{00000000-0008-0000-0600-00006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21</xdr:col>
      <xdr:colOff>0</xdr:colOff>
      <xdr:row>7</xdr:row>
      <xdr:rowOff>0</xdr:rowOff>
    </xdr:from>
    <xdr:to>
      <xdr:col>21</xdr:col>
      <xdr:colOff>0</xdr:colOff>
      <xdr:row>7</xdr:row>
      <xdr:rowOff>0</xdr:rowOff>
    </xdr:to>
    <xdr:sp macro="" textlink="">
      <xdr:nvSpPr>
        <xdr:cNvPr id="107" name="Line 4">
          <a:extLst>
            <a:ext uri="{FF2B5EF4-FFF2-40B4-BE49-F238E27FC236}">
              <a16:creationId xmlns:a16="http://schemas.microsoft.com/office/drawing/2014/main" id="{00000000-0008-0000-0600-00006B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08" name="Line 9">
          <a:extLst>
            <a:ext uri="{FF2B5EF4-FFF2-40B4-BE49-F238E27FC236}">
              <a16:creationId xmlns:a16="http://schemas.microsoft.com/office/drawing/2014/main" id="{00000000-0008-0000-0600-00006C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09" name="Line 10">
          <a:extLst>
            <a:ext uri="{FF2B5EF4-FFF2-40B4-BE49-F238E27FC236}">
              <a16:creationId xmlns:a16="http://schemas.microsoft.com/office/drawing/2014/main" id="{00000000-0008-0000-0600-00006D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11</xdr:row>
      <xdr:rowOff>0</xdr:rowOff>
    </xdr:from>
    <xdr:to>
      <xdr:col>21</xdr:col>
      <xdr:colOff>0</xdr:colOff>
      <xdr:row>11</xdr:row>
      <xdr:rowOff>0</xdr:rowOff>
    </xdr:to>
    <xdr:sp macro="" textlink="">
      <xdr:nvSpPr>
        <xdr:cNvPr id="110" name="Line 12">
          <a:extLst>
            <a:ext uri="{FF2B5EF4-FFF2-40B4-BE49-F238E27FC236}">
              <a16:creationId xmlns:a16="http://schemas.microsoft.com/office/drawing/2014/main" id="{00000000-0008-0000-0600-00006E000000}"/>
            </a:ext>
          </a:extLst>
        </xdr:cNvPr>
        <xdr:cNvSpPr>
          <a:spLocks noChangeShapeType="1"/>
        </xdr:cNvSpPr>
      </xdr:nvSpPr>
      <xdr:spPr bwMode="auto">
        <a:xfrm>
          <a:off x="3276600" y="5143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15</xdr:row>
      <xdr:rowOff>0</xdr:rowOff>
    </xdr:from>
    <xdr:to>
      <xdr:col>20</xdr:col>
      <xdr:colOff>0</xdr:colOff>
      <xdr:row>15</xdr:row>
      <xdr:rowOff>0</xdr:rowOff>
    </xdr:to>
    <xdr:graphicFrame macro="">
      <xdr:nvGraphicFramePr>
        <xdr:cNvPr id="111" name="Chart 14">
          <a:extLst>
            <a:ext uri="{FF2B5EF4-FFF2-40B4-BE49-F238E27FC236}">
              <a16:creationId xmlns:a16="http://schemas.microsoft.com/office/drawing/2014/main" id="{00000000-0008-0000-0600-00006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12" name="Chart 15">
          <a:extLst>
            <a:ext uri="{FF2B5EF4-FFF2-40B4-BE49-F238E27FC236}">
              <a16:creationId xmlns:a16="http://schemas.microsoft.com/office/drawing/2014/main" id="{00000000-0008-0000-0600-00007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13" name="Line 20">
          <a:extLst>
            <a:ext uri="{FF2B5EF4-FFF2-40B4-BE49-F238E27FC236}">
              <a16:creationId xmlns:a16="http://schemas.microsoft.com/office/drawing/2014/main" id="{00000000-0008-0000-0600-000071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14" name="Line 21">
          <a:extLst>
            <a:ext uri="{FF2B5EF4-FFF2-40B4-BE49-F238E27FC236}">
              <a16:creationId xmlns:a16="http://schemas.microsoft.com/office/drawing/2014/main" id="{00000000-0008-0000-0600-000072000000}"/>
            </a:ext>
          </a:extLst>
        </xdr:cNvPr>
        <xdr:cNvSpPr>
          <a:spLocks noChangeShapeType="1"/>
        </xdr:cNvSpPr>
      </xdr:nvSpPr>
      <xdr:spPr bwMode="auto">
        <a:xfrm>
          <a:off x="3276600" y="12201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15" name="Line 22">
          <a:extLst>
            <a:ext uri="{FF2B5EF4-FFF2-40B4-BE49-F238E27FC236}">
              <a16:creationId xmlns:a16="http://schemas.microsoft.com/office/drawing/2014/main" id="{00000000-0008-0000-0600-000073000000}"/>
            </a:ext>
          </a:extLst>
        </xdr:cNvPr>
        <xdr:cNvSpPr>
          <a:spLocks noChangeShapeType="1"/>
        </xdr:cNvSpPr>
      </xdr:nvSpPr>
      <xdr:spPr bwMode="auto">
        <a:xfrm>
          <a:off x="3276600" y="114490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16" name="Chart 36">
          <a:extLst>
            <a:ext uri="{FF2B5EF4-FFF2-40B4-BE49-F238E27FC236}">
              <a16:creationId xmlns:a16="http://schemas.microsoft.com/office/drawing/2014/main" id="{00000000-0008-0000-0600-00007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24</xdr:col>
      <xdr:colOff>47625</xdr:colOff>
      <xdr:row>7</xdr:row>
      <xdr:rowOff>0</xdr:rowOff>
    </xdr:from>
    <xdr:to>
      <xdr:col>26</xdr:col>
      <xdr:colOff>466725</xdr:colOff>
      <xdr:row>7</xdr:row>
      <xdr:rowOff>0</xdr:rowOff>
    </xdr:to>
    <xdr:sp macro="" textlink="">
      <xdr:nvSpPr>
        <xdr:cNvPr id="117" name="Line 37">
          <a:extLst>
            <a:ext uri="{FF2B5EF4-FFF2-40B4-BE49-F238E27FC236}">
              <a16:creationId xmlns:a16="http://schemas.microsoft.com/office/drawing/2014/main" id="{00000000-0008-0000-0600-000075000000}"/>
            </a:ext>
          </a:extLst>
        </xdr:cNvPr>
        <xdr:cNvSpPr>
          <a:spLocks noChangeShapeType="1"/>
        </xdr:cNvSpPr>
      </xdr:nvSpPr>
      <xdr:spPr bwMode="auto">
        <a:xfrm>
          <a:off x="5229225" y="4381500"/>
          <a:ext cx="1714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7</xdr:row>
      <xdr:rowOff>0</xdr:rowOff>
    </xdr:from>
    <xdr:to>
      <xdr:col>23</xdr:col>
      <xdr:colOff>476250</xdr:colOff>
      <xdr:row>7</xdr:row>
      <xdr:rowOff>0</xdr:rowOff>
    </xdr:to>
    <xdr:sp macro="" textlink="">
      <xdr:nvSpPr>
        <xdr:cNvPr id="118" name="Line 39">
          <a:extLst>
            <a:ext uri="{FF2B5EF4-FFF2-40B4-BE49-F238E27FC236}">
              <a16:creationId xmlns:a16="http://schemas.microsoft.com/office/drawing/2014/main" id="{00000000-0008-0000-0600-000076000000}"/>
            </a:ext>
          </a:extLst>
        </xdr:cNvPr>
        <xdr:cNvSpPr>
          <a:spLocks noChangeShapeType="1"/>
        </xdr:cNvSpPr>
      </xdr:nvSpPr>
      <xdr:spPr bwMode="auto">
        <a:xfrm>
          <a:off x="3933825" y="4381500"/>
          <a:ext cx="10953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19" name="Chart 42">
          <a:extLst>
            <a:ext uri="{FF2B5EF4-FFF2-40B4-BE49-F238E27FC236}">
              <a16:creationId xmlns:a16="http://schemas.microsoft.com/office/drawing/2014/main" id="{00000000-0008-0000-0600-00007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0" name="Chart 1">
          <a:extLst>
            <a:ext uri="{FF2B5EF4-FFF2-40B4-BE49-F238E27FC236}">
              <a16:creationId xmlns:a16="http://schemas.microsoft.com/office/drawing/2014/main" id="{00000000-0008-0000-0600-00007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1" name="Chart 2">
          <a:extLst>
            <a:ext uri="{FF2B5EF4-FFF2-40B4-BE49-F238E27FC236}">
              <a16:creationId xmlns:a16="http://schemas.microsoft.com/office/drawing/2014/main" id="{00000000-0008-0000-0600-00007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2" name="Chart 15">
          <a:extLst>
            <a:ext uri="{FF2B5EF4-FFF2-40B4-BE49-F238E27FC236}">
              <a16:creationId xmlns:a16="http://schemas.microsoft.com/office/drawing/2014/main" id="{00000000-0008-0000-0600-00007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23" name="Line 20">
          <a:extLst>
            <a:ext uri="{FF2B5EF4-FFF2-40B4-BE49-F238E27FC236}">
              <a16:creationId xmlns:a16="http://schemas.microsoft.com/office/drawing/2014/main" id="{00000000-0008-0000-0600-00007B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24" name="Line 21">
          <a:extLst>
            <a:ext uri="{FF2B5EF4-FFF2-40B4-BE49-F238E27FC236}">
              <a16:creationId xmlns:a16="http://schemas.microsoft.com/office/drawing/2014/main" id="{00000000-0008-0000-0600-00007C000000}"/>
            </a:ext>
          </a:extLst>
        </xdr:cNvPr>
        <xdr:cNvSpPr>
          <a:spLocks noChangeShapeType="1"/>
        </xdr:cNvSpPr>
      </xdr:nvSpPr>
      <xdr:spPr bwMode="auto">
        <a:xfrm>
          <a:off x="3276600" y="12201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25" name="Line 22">
          <a:extLst>
            <a:ext uri="{FF2B5EF4-FFF2-40B4-BE49-F238E27FC236}">
              <a16:creationId xmlns:a16="http://schemas.microsoft.com/office/drawing/2014/main" id="{00000000-0008-0000-0600-00007D000000}"/>
            </a:ext>
          </a:extLst>
        </xdr:cNvPr>
        <xdr:cNvSpPr>
          <a:spLocks noChangeShapeType="1"/>
        </xdr:cNvSpPr>
      </xdr:nvSpPr>
      <xdr:spPr bwMode="auto">
        <a:xfrm>
          <a:off x="3276600" y="114490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26</xdr:row>
      <xdr:rowOff>0</xdr:rowOff>
    </xdr:from>
    <xdr:to>
      <xdr:col>27</xdr:col>
      <xdr:colOff>0</xdr:colOff>
      <xdr:row>26</xdr:row>
      <xdr:rowOff>0</xdr:rowOff>
    </xdr:to>
    <xdr:sp macro="" textlink="">
      <xdr:nvSpPr>
        <xdr:cNvPr id="126" name="Line 33">
          <a:extLst>
            <a:ext uri="{FF2B5EF4-FFF2-40B4-BE49-F238E27FC236}">
              <a16:creationId xmlns:a16="http://schemas.microsoft.com/office/drawing/2014/main" id="{00000000-0008-0000-0600-00007E000000}"/>
            </a:ext>
          </a:extLst>
        </xdr:cNvPr>
        <xdr:cNvSpPr>
          <a:spLocks noChangeShapeType="1"/>
        </xdr:cNvSpPr>
      </xdr:nvSpPr>
      <xdr:spPr bwMode="auto">
        <a:xfrm>
          <a:off x="3933825" y="12201525"/>
          <a:ext cx="32004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24</xdr:row>
      <xdr:rowOff>0</xdr:rowOff>
    </xdr:from>
    <xdr:to>
      <xdr:col>27</xdr:col>
      <xdr:colOff>0</xdr:colOff>
      <xdr:row>24</xdr:row>
      <xdr:rowOff>0</xdr:rowOff>
    </xdr:to>
    <xdr:sp macro="" textlink="">
      <xdr:nvSpPr>
        <xdr:cNvPr id="127" name="Line 34">
          <a:extLst>
            <a:ext uri="{FF2B5EF4-FFF2-40B4-BE49-F238E27FC236}">
              <a16:creationId xmlns:a16="http://schemas.microsoft.com/office/drawing/2014/main" id="{00000000-0008-0000-0600-00007F000000}"/>
            </a:ext>
          </a:extLst>
        </xdr:cNvPr>
        <xdr:cNvSpPr>
          <a:spLocks noChangeShapeType="1"/>
        </xdr:cNvSpPr>
      </xdr:nvSpPr>
      <xdr:spPr bwMode="auto">
        <a:xfrm>
          <a:off x="3924300" y="11449050"/>
          <a:ext cx="32099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15</xdr:row>
      <xdr:rowOff>0</xdr:rowOff>
    </xdr:from>
    <xdr:to>
      <xdr:col>21</xdr:col>
      <xdr:colOff>0</xdr:colOff>
      <xdr:row>15</xdr:row>
      <xdr:rowOff>0</xdr:rowOff>
    </xdr:to>
    <xdr:graphicFrame macro="">
      <xdr:nvGraphicFramePr>
        <xdr:cNvPr id="128" name="Chart 127">
          <a:extLst>
            <a:ext uri="{FF2B5EF4-FFF2-40B4-BE49-F238E27FC236}">
              <a16:creationId xmlns:a16="http://schemas.microsoft.com/office/drawing/2014/main" id="{00000000-0008-0000-0600-00008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9" name="Chart 128">
          <a:extLst>
            <a:ext uri="{FF2B5EF4-FFF2-40B4-BE49-F238E27FC236}">
              <a16:creationId xmlns:a16="http://schemas.microsoft.com/office/drawing/2014/main" id="{00000000-0008-0000-0600-00008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0" name="Chart 15">
          <a:extLst>
            <a:ext uri="{FF2B5EF4-FFF2-40B4-BE49-F238E27FC236}">
              <a16:creationId xmlns:a16="http://schemas.microsoft.com/office/drawing/2014/main" id="{00000000-0008-0000-0600-00008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31" name="Line 20">
          <a:extLst>
            <a:ext uri="{FF2B5EF4-FFF2-40B4-BE49-F238E27FC236}">
              <a16:creationId xmlns:a16="http://schemas.microsoft.com/office/drawing/2014/main" id="{00000000-0008-0000-0600-000083000000}"/>
            </a:ext>
          </a:extLst>
        </xdr:cNvPr>
        <xdr:cNvSpPr>
          <a:spLocks noChangeShapeType="1"/>
        </xdr:cNvSpPr>
      </xdr:nvSpPr>
      <xdr:spPr bwMode="auto">
        <a:xfrm>
          <a:off x="5648325" y="64389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32" name="Line 21">
          <a:extLst>
            <a:ext uri="{FF2B5EF4-FFF2-40B4-BE49-F238E27FC236}">
              <a16:creationId xmlns:a16="http://schemas.microsoft.com/office/drawing/2014/main" id="{00000000-0008-0000-0600-000084000000}"/>
            </a:ext>
          </a:extLst>
        </xdr:cNvPr>
        <xdr:cNvSpPr>
          <a:spLocks noChangeShapeType="1"/>
        </xdr:cNvSpPr>
      </xdr:nvSpPr>
      <xdr:spPr bwMode="auto">
        <a:xfrm>
          <a:off x="5648325" y="61245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33" name="Line 22">
          <a:extLst>
            <a:ext uri="{FF2B5EF4-FFF2-40B4-BE49-F238E27FC236}">
              <a16:creationId xmlns:a16="http://schemas.microsoft.com/office/drawing/2014/main" id="{00000000-0008-0000-0600-000085000000}"/>
            </a:ext>
          </a:extLst>
        </xdr:cNvPr>
        <xdr:cNvSpPr>
          <a:spLocks noChangeShapeType="1"/>
        </xdr:cNvSpPr>
      </xdr:nvSpPr>
      <xdr:spPr bwMode="auto">
        <a:xfrm>
          <a:off x="5648325" y="58007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34" name="Chart 36">
          <a:extLst>
            <a:ext uri="{FF2B5EF4-FFF2-40B4-BE49-F238E27FC236}">
              <a16:creationId xmlns:a16="http://schemas.microsoft.com/office/drawing/2014/main" id="{00000000-0008-0000-0600-00008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22</xdr:col>
      <xdr:colOff>0</xdr:colOff>
      <xdr:row>15</xdr:row>
      <xdr:rowOff>0</xdr:rowOff>
    </xdr:from>
    <xdr:to>
      <xdr:col>22</xdr:col>
      <xdr:colOff>0</xdr:colOff>
      <xdr:row>15</xdr:row>
      <xdr:rowOff>0</xdr:rowOff>
    </xdr:to>
    <xdr:graphicFrame macro="">
      <xdr:nvGraphicFramePr>
        <xdr:cNvPr id="135" name="Chart 42">
          <a:extLst>
            <a:ext uri="{FF2B5EF4-FFF2-40B4-BE49-F238E27FC236}">
              <a16:creationId xmlns:a16="http://schemas.microsoft.com/office/drawing/2014/main" id="{00000000-0008-0000-0600-00008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6" name="Chart 1">
          <a:extLst>
            <a:ext uri="{FF2B5EF4-FFF2-40B4-BE49-F238E27FC236}">
              <a16:creationId xmlns:a16="http://schemas.microsoft.com/office/drawing/2014/main" id="{00000000-0008-0000-0600-00008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7" name="Chart 2">
          <a:extLst>
            <a:ext uri="{FF2B5EF4-FFF2-40B4-BE49-F238E27FC236}">
              <a16:creationId xmlns:a16="http://schemas.microsoft.com/office/drawing/2014/main" id="{00000000-0008-0000-0600-00008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8" name="Chart 15">
          <a:extLst>
            <a:ext uri="{FF2B5EF4-FFF2-40B4-BE49-F238E27FC236}">
              <a16:creationId xmlns:a16="http://schemas.microsoft.com/office/drawing/2014/main" id="{00000000-0008-0000-0600-00008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39" name="Line 20">
          <a:extLst>
            <a:ext uri="{FF2B5EF4-FFF2-40B4-BE49-F238E27FC236}">
              <a16:creationId xmlns:a16="http://schemas.microsoft.com/office/drawing/2014/main" id="{00000000-0008-0000-0600-00008B000000}"/>
            </a:ext>
          </a:extLst>
        </xdr:cNvPr>
        <xdr:cNvSpPr>
          <a:spLocks noChangeShapeType="1"/>
        </xdr:cNvSpPr>
      </xdr:nvSpPr>
      <xdr:spPr bwMode="auto">
        <a:xfrm>
          <a:off x="5648325" y="64389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40" name="Line 21">
          <a:extLst>
            <a:ext uri="{FF2B5EF4-FFF2-40B4-BE49-F238E27FC236}">
              <a16:creationId xmlns:a16="http://schemas.microsoft.com/office/drawing/2014/main" id="{00000000-0008-0000-0600-00008C000000}"/>
            </a:ext>
          </a:extLst>
        </xdr:cNvPr>
        <xdr:cNvSpPr>
          <a:spLocks noChangeShapeType="1"/>
        </xdr:cNvSpPr>
      </xdr:nvSpPr>
      <xdr:spPr bwMode="auto">
        <a:xfrm>
          <a:off x="5648325" y="61245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41" name="Line 22">
          <a:extLst>
            <a:ext uri="{FF2B5EF4-FFF2-40B4-BE49-F238E27FC236}">
              <a16:creationId xmlns:a16="http://schemas.microsoft.com/office/drawing/2014/main" id="{00000000-0008-0000-0600-00008D000000}"/>
            </a:ext>
          </a:extLst>
        </xdr:cNvPr>
        <xdr:cNvSpPr>
          <a:spLocks noChangeShapeType="1"/>
        </xdr:cNvSpPr>
      </xdr:nvSpPr>
      <xdr:spPr bwMode="auto">
        <a:xfrm>
          <a:off x="5648325" y="58007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26</xdr:row>
      <xdr:rowOff>0</xdr:rowOff>
    </xdr:from>
    <xdr:to>
      <xdr:col>29</xdr:col>
      <xdr:colOff>0</xdr:colOff>
      <xdr:row>26</xdr:row>
      <xdr:rowOff>0</xdr:rowOff>
    </xdr:to>
    <xdr:sp macro="" textlink="">
      <xdr:nvSpPr>
        <xdr:cNvPr id="142" name="Line 33">
          <a:extLst>
            <a:ext uri="{FF2B5EF4-FFF2-40B4-BE49-F238E27FC236}">
              <a16:creationId xmlns:a16="http://schemas.microsoft.com/office/drawing/2014/main" id="{00000000-0008-0000-0600-00008E000000}"/>
            </a:ext>
          </a:extLst>
        </xdr:cNvPr>
        <xdr:cNvSpPr>
          <a:spLocks noChangeShapeType="1"/>
        </xdr:cNvSpPr>
      </xdr:nvSpPr>
      <xdr:spPr bwMode="auto">
        <a:xfrm>
          <a:off x="6248400" y="6124575"/>
          <a:ext cx="3609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24</xdr:row>
      <xdr:rowOff>0</xdr:rowOff>
    </xdr:from>
    <xdr:to>
      <xdr:col>29</xdr:col>
      <xdr:colOff>0</xdr:colOff>
      <xdr:row>24</xdr:row>
      <xdr:rowOff>0</xdr:rowOff>
    </xdr:to>
    <xdr:sp macro="" textlink="">
      <xdr:nvSpPr>
        <xdr:cNvPr id="143" name="Line 34">
          <a:extLst>
            <a:ext uri="{FF2B5EF4-FFF2-40B4-BE49-F238E27FC236}">
              <a16:creationId xmlns:a16="http://schemas.microsoft.com/office/drawing/2014/main" id="{00000000-0008-0000-0600-00008F000000}"/>
            </a:ext>
          </a:extLst>
        </xdr:cNvPr>
        <xdr:cNvSpPr>
          <a:spLocks noChangeShapeType="1"/>
        </xdr:cNvSpPr>
      </xdr:nvSpPr>
      <xdr:spPr bwMode="auto">
        <a:xfrm>
          <a:off x="6238875" y="5800725"/>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9.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1.xml><?xml version="1.0" encoding="utf-8"?>
<c:userShapes xmlns:c="http://schemas.openxmlformats.org/drawingml/2006/chart">
  <cdr:relSizeAnchor xmlns:cdr="http://schemas.openxmlformats.org/drawingml/2006/chartDrawing">
    <cdr:from>
      <cdr:x>0.06515</cdr:x>
      <cdr:y>0.55069</cdr:y>
    </cdr:from>
    <cdr:to>
      <cdr:x>0.06515</cdr:x>
      <cdr:y>0.55069</cdr:y>
    </cdr:to>
    <cdr:sp macro="" textlink="">
      <cdr:nvSpPr>
        <cdr:cNvPr id="11265"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12289"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3.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9.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1.bin"/><Relationship Id="rId1" Type="http://schemas.openxmlformats.org/officeDocument/2006/relationships/hyperlink" Target="https://www.ons.gov.uk/peoplepopulationandcommunity/personalandhouseholdfinances/expenditure/datasets/familyspendingworkbook2expenditurebyincome" TargetMode="External"/></Relationships>
</file>

<file path=xl/worksheets/_rels/sheet13.xml.rels><?xml version="1.0" encoding="UTF-8" standalone="yes"?>
<Relationships xmlns="http://schemas.openxmlformats.org/package/2006/relationships"><Relationship Id="rId1" Type="http://schemas.openxmlformats.org/officeDocument/2006/relationships/hyperlink" Target="https://www.ons.gov.uk/peoplepopulationandcommunity/personalandhouseholdfinances/incomeandwealth/compendium/familyspending/2015/methodology" TargetMode="Externa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91601-0903-4479-8D49-EFAD6BCEFD1C}">
  <sheetPr codeName="Sheet19">
    <pageSetUpPr autoPageBreaks="0"/>
  </sheetPr>
  <dimension ref="B3:N108"/>
  <sheetViews>
    <sheetView showGridLines="0" showRowColHeaders="0" tabSelected="1" topLeftCell="A4" zoomScale="70" zoomScaleNormal="70" zoomScaleSheetLayoutView="100" workbookViewId="0">
      <selection activeCell="D9" sqref="D9"/>
    </sheetView>
  </sheetViews>
  <sheetFormatPr defaultColWidth="9.140625" defaultRowHeight="14.25" x14ac:dyDescent="0.2"/>
  <cols>
    <col min="1" max="1" width="1.85546875" style="930" customWidth="1"/>
    <col min="2" max="2" width="21.7109375" style="930" customWidth="1"/>
    <col min="3" max="3" width="3.140625" style="930" customWidth="1"/>
    <col min="4" max="4" width="30.5703125" style="930" customWidth="1"/>
    <col min="5" max="5" width="2.85546875" style="930" customWidth="1"/>
    <col min="6" max="6" width="37.140625" style="989" customWidth="1"/>
    <col min="7" max="7" width="2.7109375" style="989" customWidth="1"/>
    <col min="8" max="8" width="27.85546875" style="930" customWidth="1"/>
    <col min="9" max="9" width="10.85546875" style="930" customWidth="1"/>
    <col min="10" max="10" width="21.5703125" style="930" customWidth="1"/>
    <col min="11" max="11" width="2.140625" style="930" customWidth="1"/>
    <col min="12" max="12" width="36.7109375" style="930" customWidth="1"/>
    <col min="13" max="13" width="9.140625" style="930"/>
    <col min="14" max="14" width="13" style="930" bestFit="1" customWidth="1"/>
    <col min="15" max="16384" width="9.140625" style="930"/>
  </cols>
  <sheetData>
    <row r="3" spans="2:12" x14ac:dyDescent="0.2">
      <c r="G3" s="993"/>
    </row>
    <row r="7" spans="2:12" s="940" customFormat="1" ht="21" customHeight="1" x14ac:dyDescent="0.25">
      <c r="B7" s="1569" t="s">
        <v>0</v>
      </c>
      <c r="C7" s="1570"/>
      <c r="D7" s="1570"/>
      <c r="E7" s="1570"/>
      <c r="F7" s="1570"/>
      <c r="G7" s="1570"/>
      <c r="H7" s="1570"/>
      <c r="I7" s="1570"/>
      <c r="J7" s="1570"/>
      <c r="K7" s="1570"/>
      <c r="L7" s="1571"/>
    </row>
    <row r="8" spans="2:12" ht="20.25" customHeight="1" x14ac:dyDescent="0.2"/>
    <row r="9" spans="2:12" s="940" customFormat="1" ht="32.25" customHeight="1" x14ac:dyDescent="0.25">
      <c r="B9" s="994" t="s">
        <v>1</v>
      </c>
      <c r="C9" s="995"/>
      <c r="D9" s="1462"/>
      <c r="F9" s="994" t="s">
        <v>2</v>
      </c>
      <c r="G9" s="934"/>
      <c r="H9" s="1465"/>
      <c r="J9" s="996" t="s">
        <v>3</v>
      </c>
      <c r="L9" s="1468"/>
    </row>
    <row r="10" spans="2:12" s="940" customFormat="1" ht="9" customHeight="1" x14ac:dyDescent="0.25">
      <c r="B10" s="994"/>
      <c r="C10" s="995"/>
      <c r="D10" s="997"/>
      <c r="F10" s="994"/>
      <c r="G10" s="934"/>
      <c r="H10" s="998"/>
      <c r="J10" s="999"/>
    </row>
    <row r="11" spans="2:12" s="940" customFormat="1" ht="32.25" customHeight="1" x14ac:dyDescent="0.25">
      <c r="B11" s="994" t="s">
        <v>4</v>
      </c>
      <c r="C11" s="995"/>
      <c r="D11" s="1463"/>
      <c r="F11" s="994" t="s">
        <v>5</v>
      </c>
      <c r="G11" s="934"/>
      <c r="H11" s="1466"/>
      <c r="J11" s="999"/>
    </row>
    <row r="12" spans="2:12" s="940" customFormat="1" ht="6.75" customHeight="1" x14ac:dyDescent="0.25">
      <c r="B12" s="994"/>
      <c r="C12" s="995"/>
      <c r="D12" s="997"/>
      <c r="F12" s="994"/>
      <c r="G12" s="934"/>
      <c r="H12" s="998"/>
      <c r="J12" s="999"/>
    </row>
    <row r="13" spans="2:12" s="940" customFormat="1" ht="64.5" customHeight="1" x14ac:dyDescent="0.2">
      <c r="B13" s="994" t="s">
        <v>6</v>
      </c>
      <c r="C13" s="995"/>
      <c r="D13" s="1464"/>
      <c r="E13" s="930"/>
      <c r="F13" s="1000" t="s">
        <v>1839</v>
      </c>
      <c r="G13" s="989"/>
      <c r="H13" s="1467"/>
      <c r="J13" s="1000" t="s">
        <v>7</v>
      </c>
      <c r="L13" s="1465"/>
    </row>
    <row r="14" spans="2:12" s="940" customFormat="1" ht="27.75" customHeight="1" x14ac:dyDescent="0.25">
      <c r="D14" s="1553" t="str">
        <f>IF(AND(D13=1,H13="2+"),"Number of Adults Higher than Number of Applicants","")</f>
        <v/>
      </c>
      <c r="E14" s="1553"/>
      <c r="F14" s="1000"/>
      <c r="G14" s="1553"/>
      <c r="H14" s="1553"/>
    </row>
    <row r="15" spans="2:12" s="940" customFormat="1" ht="21" customHeight="1" x14ac:dyDescent="0.25">
      <c r="B15" s="1568" t="s">
        <v>8</v>
      </c>
      <c r="C15" s="1568"/>
      <c r="D15" s="1568"/>
      <c r="E15" s="1568"/>
      <c r="F15" s="1568"/>
      <c r="G15" s="1568"/>
      <c r="H15" s="1568"/>
      <c r="I15" s="1568"/>
      <c r="J15" s="1568"/>
      <c r="K15" s="1568"/>
      <c r="L15" s="1568"/>
    </row>
    <row r="16" spans="2:12" ht="16.5" customHeight="1" x14ac:dyDescent="0.2"/>
    <row r="17" spans="2:14" ht="26.25" customHeight="1" x14ac:dyDescent="0.2">
      <c r="B17" s="1572" t="s">
        <v>9</v>
      </c>
      <c r="C17" s="1572"/>
      <c r="D17" s="1572"/>
      <c r="F17" s="1469"/>
    </row>
    <row r="18" spans="2:14" ht="4.5" customHeight="1" x14ac:dyDescent="0.2">
      <c r="B18" s="1001"/>
      <c r="C18" s="1002"/>
      <c r="D18" s="1003"/>
      <c r="F18" s="1004"/>
    </row>
    <row r="19" spans="2:14" ht="26.25" customHeight="1" x14ac:dyDescent="0.2">
      <c r="B19" s="1572" t="s">
        <v>10</v>
      </c>
      <c r="C19" s="1572"/>
      <c r="D19" s="1572"/>
      <c r="F19" s="1455"/>
    </row>
    <row r="20" spans="2:14" ht="4.5" customHeight="1" x14ac:dyDescent="0.2">
      <c r="B20" s="1005"/>
      <c r="C20" s="1006"/>
      <c r="D20" s="1007"/>
      <c r="F20" s="1004"/>
    </row>
    <row r="21" spans="2:14" ht="26.25" customHeight="1" x14ac:dyDescent="0.2">
      <c r="B21" s="1001" t="s">
        <v>11</v>
      </c>
      <c r="C21" s="1006"/>
      <c r="D21" s="1001" t="s">
        <v>12</v>
      </c>
      <c r="F21" s="1455">
        <v>150000</v>
      </c>
      <c r="H21" s="1008" t="s">
        <v>13</v>
      </c>
      <c r="J21" s="1455"/>
    </row>
    <row r="22" spans="2:14" ht="4.5" customHeight="1" x14ac:dyDescent="0.2">
      <c r="B22" s="1005"/>
      <c r="C22" s="1006"/>
      <c r="D22" s="1007"/>
      <c r="F22" s="1004"/>
    </row>
    <row r="23" spans="2:14" ht="26.25" customHeight="1" x14ac:dyDescent="0.2">
      <c r="B23" s="1572" t="s">
        <v>14</v>
      </c>
      <c r="C23" s="1572"/>
      <c r="D23" s="1572"/>
      <c r="F23" s="1455"/>
      <c r="H23" s="1003" t="s">
        <v>15</v>
      </c>
      <c r="J23" s="1470">
        <f>IFERROR(SUM(F61/F23),0%)</f>
        <v>0</v>
      </c>
    </row>
    <row r="24" spans="2:14" ht="5.25" customHeight="1" x14ac:dyDescent="0.2">
      <c r="B24" s="1001"/>
      <c r="C24" s="1002"/>
      <c r="D24" s="1003"/>
      <c r="F24" s="1004"/>
    </row>
    <row r="25" spans="2:14" ht="26.25" customHeight="1" x14ac:dyDescent="0.2">
      <c r="B25" s="1572" t="s">
        <v>16</v>
      </c>
      <c r="C25" s="1572"/>
      <c r="D25" s="1572"/>
      <c r="F25" s="1465"/>
      <c r="H25" s="1573" t="s">
        <v>1756</v>
      </c>
      <c r="I25" s="1573"/>
      <c r="J25" s="1573"/>
    </row>
    <row r="26" spans="2:14" ht="20.25" customHeight="1" x14ac:dyDescent="0.2"/>
    <row r="27" spans="2:14" ht="22.5" x14ac:dyDescent="0.2">
      <c r="B27" s="1568" t="s">
        <v>17</v>
      </c>
      <c r="C27" s="1568"/>
      <c r="D27" s="1568"/>
      <c r="E27" s="1568"/>
      <c r="F27" s="1568"/>
      <c r="G27" s="1568"/>
      <c r="H27" s="1568"/>
      <c r="I27" s="1568"/>
      <c r="J27" s="1568"/>
      <c r="K27" s="1568"/>
      <c r="L27" s="1568"/>
    </row>
    <row r="28" spans="2:14" ht="18.75" customHeight="1" x14ac:dyDescent="0.2"/>
    <row r="29" spans="2:14" ht="15" x14ac:dyDescent="0.2">
      <c r="B29" s="1007" t="s">
        <v>18</v>
      </c>
      <c r="C29" s="1007"/>
      <c r="D29" s="1453" t="s">
        <v>1767</v>
      </c>
      <c r="E29" s="1011"/>
      <c r="F29" s="1455"/>
      <c r="G29" s="930"/>
      <c r="H29" s="1007" t="s">
        <v>19</v>
      </c>
      <c r="I29" s="1007"/>
      <c r="J29" s="1453" t="s">
        <v>1767</v>
      </c>
      <c r="K29" s="1011"/>
      <c r="L29" s="1455"/>
      <c r="N29" s="1148"/>
    </row>
    <row r="30" spans="2:14" ht="15" x14ac:dyDescent="0.2">
      <c r="B30" s="1015"/>
      <c r="C30" s="1015"/>
      <c r="D30" s="1453" t="s">
        <v>1768</v>
      </c>
      <c r="E30" s="1011"/>
      <c r="F30" s="1455"/>
      <c r="G30" s="930"/>
      <c r="H30" s="1015"/>
      <c r="I30" s="1015"/>
      <c r="J30" s="1454" t="s">
        <v>20</v>
      </c>
      <c r="K30" s="1011"/>
      <c r="L30" s="1455"/>
    </row>
    <row r="31" spans="2:14" ht="15.75" customHeight="1" x14ac:dyDescent="0.2">
      <c r="B31" s="1567" t="s">
        <v>1769</v>
      </c>
      <c r="C31" s="1567"/>
      <c r="D31" s="1567"/>
      <c r="E31" s="1011"/>
      <c r="F31" s="1455"/>
      <c r="G31" s="1154">
        <f>IF(AND(F29&lt;&gt;"",F31=""),1,0)</f>
        <v>0</v>
      </c>
      <c r="H31" s="1567" t="s">
        <v>1769</v>
      </c>
      <c r="I31" s="1567"/>
      <c r="J31" s="1567"/>
      <c r="K31" s="1011"/>
      <c r="L31" s="1455"/>
      <c r="M31" s="1154">
        <f>IF(AND(L29&lt;&gt;"",L31=""),1,0)</f>
        <v>0</v>
      </c>
    </row>
    <row r="32" spans="2:14" ht="15" x14ac:dyDescent="0.2">
      <c r="B32" s="1015"/>
      <c r="C32" s="1015"/>
      <c r="D32" s="1453" t="s">
        <v>1770</v>
      </c>
      <c r="E32" s="1011"/>
      <c r="F32" s="1455"/>
      <c r="G32" s="1154"/>
      <c r="H32" s="1015"/>
      <c r="I32" s="1015"/>
      <c r="J32" s="1453" t="s">
        <v>1770</v>
      </c>
      <c r="K32" s="1011"/>
      <c r="L32" s="1455"/>
      <c r="M32" s="1154"/>
      <c r="N32" s="1149"/>
    </row>
    <row r="33" spans="2:13" ht="15" x14ac:dyDescent="0.2">
      <c r="B33" s="1015"/>
      <c r="C33" s="1015"/>
      <c r="D33" s="1453" t="s">
        <v>1771</v>
      </c>
      <c r="E33" s="1011"/>
      <c r="F33" s="1455"/>
      <c r="G33" s="1154"/>
      <c r="H33" s="1015"/>
      <c r="I33" s="1015"/>
      <c r="J33" s="1453" t="s">
        <v>1771</v>
      </c>
      <c r="K33" s="1011"/>
      <c r="L33" s="1455"/>
      <c r="M33" s="1154"/>
    </row>
    <row r="34" spans="2:13" ht="15" x14ac:dyDescent="0.2">
      <c r="B34" s="1015"/>
      <c r="C34" s="1015"/>
      <c r="D34" s="1453" t="s">
        <v>21</v>
      </c>
      <c r="E34" s="1011"/>
      <c r="F34" s="1455"/>
      <c r="G34" s="1154"/>
      <c r="H34" s="1015"/>
      <c r="I34" s="1015"/>
      <c r="J34" s="1453" t="s">
        <v>21</v>
      </c>
      <c r="K34" s="1011"/>
      <c r="L34" s="1455"/>
      <c r="M34" s="1154"/>
    </row>
    <row r="35" spans="2:13" ht="21" customHeight="1" x14ac:dyDescent="0.2">
      <c r="D35" s="1010"/>
      <c r="F35" s="1012">
        <f>IFERROR(F31*(F29/(F29+F30))+(F31*(F30/(F29+F30))*0.5)+(F33*0.5)+(F34*0.5),0)</f>
        <v>0</v>
      </c>
      <c r="G35" s="1155"/>
      <c r="J35" s="1010"/>
      <c r="L35" s="1012">
        <f>IFERROR(L31*(L29/(L29+L30))+(L31*(L30/(L29+L30))*0.5)+(L33*0.5)+(L34*0.5),0)</f>
        <v>0</v>
      </c>
      <c r="M35" s="1154"/>
    </row>
    <row r="36" spans="2:13" ht="15" x14ac:dyDescent="0.2">
      <c r="B36" s="1007" t="s">
        <v>22</v>
      </c>
      <c r="C36" s="1007"/>
      <c r="D36" s="1453" t="s">
        <v>1767</v>
      </c>
      <c r="E36" s="1456"/>
      <c r="F36" s="1455"/>
      <c r="G36" s="1015"/>
      <c r="H36" s="1007" t="s">
        <v>29</v>
      </c>
      <c r="I36" s="1007"/>
      <c r="J36" s="1453" t="s">
        <v>1767</v>
      </c>
      <c r="K36" s="1456"/>
      <c r="L36" s="1455"/>
      <c r="M36" s="1154"/>
    </row>
    <row r="37" spans="2:13" ht="15" x14ac:dyDescent="0.2">
      <c r="B37" s="1015"/>
      <c r="C37" s="1015"/>
      <c r="D37" s="1454" t="s">
        <v>20</v>
      </c>
      <c r="E37" s="1456"/>
      <c r="F37" s="1455"/>
      <c r="G37" s="1015"/>
      <c r="H37" s="1015"/>
      <c r="I37" s="1015"/>
      <c r="J37" s="1454" t="s">
        <v>20</v>
      </c>
      <c r="K37" s="1456"/>
      <c r="L37" s="1455"/>
      <c r="M37" s="1154"/>
    </row>
    <row r="38" spans="2:13" ht="15.75" customHeight="1" x14ac:dyDescent="0.2">
      <c r="B38" s="1567" t="s">
        <v>1769</v>
      </c>
      <c r="C38" s="1567"/>
      <c r="D38" s="1567"/>
      <c r="E38" s="1456"/>
      <c r="F38" s="1455"/>
      <c r="G38" s="1154">
        <f>IF(AND(F36&lt;&gt;"",F38=""),1,0)</f>
        <v>0</v>
      </c>
      <c r="H38" s="1567" t="s">
        <v>1769</v>
      </c>
      <c r="I38" s="1567"/>
      <c r="J38" s="1567"/>
      <c r="K38" s="1456"/>
      <c r="L38" s="1455"/>
      <c r="M38" s="1154">
        <f>IF(AND(L36&lt;&gt;"",L38=""),1,0)</f>
        <v>0</v>
      </c>
    </row>
    <row r="39" spans="2:13" ht="15" x14ac:dyDescent="0.2">
      <c r="B39" s="1015"/>
      <c r="C39" s="1015"/>
      <c r="D39" s="1453" t="s">
        <v>1770</v>
      </c>
      <c r="E39" s="1456"/>
      <c r="F39" s="1455"/>
      <c r="G39" s="1015"/>
      <c r="H39" s="1015"/>
      <c r="I39" s="1015"/>
      <c r="J39" s="1453" t="s">
        <v>1770</v>
      </c>
      <c r="K39" s="1456"/>
      <c r="L39" s="1455"/>
      <c r="M39" s="1154"/>
    </row>
    <row r="40" spans="2:13" ht="15" x14ac:dyDescent="0.2">
      <c r="B40" s="1015"/>
      <c r="C40" s="1015"/>
      <c r="D40" s="1453" t="s">
        <v>1771</v>
      </c>
      <c r="E40" s="1456"/>
      <c r="F40" s="1455"/>
      <c r="G40" s="1015"/>
      <c r="H40" s="1015"/>
      <c r="I40" s="1015"/>
      <c r="J40" s="1453" t="s">
        <v>1771</v>
      </c>
      <c r="K40" s="1456"/>
      <c r="L40" s="1455"/>
      <c r="M40" s="1154"/>
    </row>
    <row r="41" spans="2:13" ht="15" x14ac:dyDescent="0.2">
      <c r="B41" s="1015"/>
      <c r="C41" s="1015"/>
      <c r="D41" s="1453" t="s">
        <v>21</v>
      </c>
      <c r="E41" s="1456"/>
      <c r="F41" s="1455"/>
      <c r="G41" s="1015"/>
      <c r="H41" s="1015"/>
      <c r="I41" s="1015"/>
      <c r="J41" s="1453" t="s">
        <v>21</v>
      </c>
      <c r="K41" s="1456"/>
      <c r="L41" s="1455"/>
      <c r="M41" s="1154">
        <f>SUM(G31,G38,M38,M31)</f>
        <v>0</v>
      </c>
    </row>
    <row r="42" spans="2:13" ht="23.25" customHeight="1" x14ac:dyDescent="0.2">
      <c r="F42" s="1012">
        <f>IFERROR(F38*(F36/(F36+F37))+(F38*(F37/(F36+F37))*0.5)+(F40*0.5)+(F41*0.5),0)</f>
        <v>0</v>
      </c>
      <c r="L42" s="1012">
        <f>IFERROR(L38*(L36/(L36+L37))+(L38*(L37/(L36+L37))*0.5)+(L40*0.5)+(L41*0.5),0)</f>
        <v>0</v>
      </c>
    </row>
    <row r="43" spans="2:13" ht="22.5" x14ac:dyDescent="0.2">
      <c r="B43" s="1568" t="s">
        <v>23</v>
      </c>
      <c r="C43" s="1568"/>
      <c r="D43" s="1568"/>
      <c r="E43" s="1568"/>
      <c r="F43" s="1568"/>
      <c r="G43" s="1568"/>
      <c r="H43" s="1568"/>
      <c r="I43" s="1568"/>
      <c r="J43" s="1568"/>
      <c r="K43" s="1568"/>
      <c r="L43" s="1568"/>
    </row>
    <row r="45" spans="2:13" ht="15" x14ac:dyDescent="0.2">
      <c r="B45" s="1007" t="s">
        <v>18</v>
      </c>
      <c r="C45" s="1007"/>
      <c r="D45" s="1453" t="s">
        <v>24</v>
      </c>
      <c r="E45" s="1456"/>
      <c r="F45" s="1455"/>
      <c r="G45" s="930"/>
      <c r="H45" s="1007" t="s">
        <v>19</v>
      </c>
      <c r="I45" s="1009"/>
      <c r="J45" s="1453" t="s">
        <v>24</v>
      </c>
      <c r="K45" s="1456"/>
      <c r="L45" s="1455"/>
    </row>
    <row r="46" spans="2:13" ht="15" x14ac:dyDescent="0.2">
      <c r="C46" s="1015"/>
      <c r="D46" s="1453" t="s">
        <v>25</v>
      </c>
      <c r="E46" s="1456"/>
      <c r="F46" s="1455"/>
      <c r="G46" s="930"/>
      <c r="J46" s="1453" t="s">
        <v>25</v>
      </c>
      <c r="K46" s="1456"/>
      <c r="L46" s="1455"/>
    </row>
    <row r="47" spans="2:13" ht="15" x14ac:dyDescent="0.2">
      <c r="C47" s="1015"/>
      <c r="D47" s="1453" t="s">
        <v>26</v>
      </c>
      <c r="E47" s="1456"/>
      <c r="F47" s="1455"/>
      <c r="G47" s="930"/>
      <c r="J47" s="1453" t="s">
        <v>26</v>
      </c>
      <c r="K47" s="1456"/>
      <c r="L47" s="1455"/>
    </row>
    <row r="48" spans="2:13" ht="15" x14ac:dyDescent="0.2">
      <c r="C48" s="1015"/>
      <c r="D48" s="1453" t="s">
        <v>27</v>
      </c>
      <c r="E48" s="1456"/>
      <c r="F48" s="1455"/>
      <c r="G48" s="930"/>
      <c r="J48" s="1453" t="s">
        <v>27</v>
      </c>
      <c r="K48" s="1456"/>
      <c r="L48" s="1455"/>
    </row>
    <row r="49" spans="2:12" ht="15" x14ac:dyDescent="0.2">
      <c r="C49" s="1015"/>
      <c r="D49" s="1453" t="s">
        <v>1759</v>
      </c>
      <c r="E49" s="1456"/>
      <c r="F49" s="1455"/>
      <c r="G49" s="930"/>
      <c r="J49" s="1453" t="s">
        <v>28</v>
      </c>
      <c r="K49" s="1456"/>
      <c r="L49" s="1455"/>
    </row>
    <row r="50" spans="2:12" ht="15" x14ac:dyDescent="0.2">
      <c r="C50" s="1015"/>
      <c r="D50" s="1453" t="s">
        <v>28</v>
      </c>
      <c r="E50" s="1456"/>
      <c r="F50" s="1455"/>
      <c r="G50" s="930"/>
      <c r="I50" s="1453"/>
      <c r="K50" s="1456"/>
      <c r="L50" s="1507"/>
    </row>
    <row r="51" spans="2:12" x14ac:dyDescent="0.2">
      <c r="D51" s="1010"/>
      <c r="F51" s="1013">
        <f>F45+(F46*3%)+F47+F48+F49+F50</f>
        <v>0</v>
      </c>
      <c r="J51" s="1010"/>
      <c r="L51" s="1013">
        <f>L45+(L46*3%)+L47+L48+L50</f>
        <v>0</v>
      </c>
    </row>
    <row r="52" spans="2:12" ht="15" x14ac:dyDescent="0.2">
      <c r="B52" s="1007" t="s">
        <v>22</v>
      </c>
      <c r="C52" s="1009"/>
      <c r="D52" s="1453" t="s">
        <v>24</v>
      </c>
      <c r="E52" s="1456"/>
      <c r="F52" s="1455"/>
      <c r="G52" s="930"/>
      <c r="H52" s="1007" t="s">
        <v>29</v>
      </c>
      <c r="I52" s="1009"/>
      <c r="J52" s="1453" t="s">
        <v>24</v>
      </c>
      <c r="K52" s="1456"/>
      <c r="L52" s="1455"/>
    </row>
    <row r="53" spans="2:12" ht="15" x14ac:dyDescent="0.2">
      <c r="D53" s="1453" t="s">
        <v>25</v>
      </c>
      <c r="E53" s="1456"/>
      <c r="F53" s="1455"/>
      <c r="G53" s="930"/>
      <c r="J53" s="1453" t="s">
        <v>25</v>
      </c>
      <c r="K53" s="1456"/>
      <c r="L53" s="1455"/>
    </row>
    <row r="54" spans="2:12" ht="15" x14ac:dyDescent="0.2">
      <c r="D54" s="1453" t="s">
        <v>26</v>
      </c>
      <c r="E54" s="1456"/>
      <c r="F54" s="1455"/>
      <c r="G54" s="930"/>
      <c r="J54" s="1453" t="s">
        <v>26</v>
      </c>
      <c r="K54" s="1456"/>
      <c r="L54" s="1455"/>
    </row>
    <row r="55" spans="2:12" ht="15" x14ac:dyDescent="0.2">
      <c r="D55" s="1453" t="s">
        <v>27</v>
      </c>
      <c r="E55" s="1456"/>
      <c r="F55" s="1455"/>
      <c r="G55" s="930"/>
      <c r="J55" s="1453" t="s">
        <v>27</v>
      </c>
      <c r="K55" s="1456"/>
      <c r="L55" s="1455"/>
    </row>
    <row r="56" spans="2:12" ht="15" x14ac:dyDescent="0.2">
      <c r="D56" s="1453" t="s">
        <v>28</v>
      </c>
      <c r="E56" s="1456"/>
      <c r="F56" s="1455"/>
      <c r="G56" s="930"/>
      <c r="J56" s="1453" t="s">
        <v>28</v>
      </c>
      <c r="K56" s="1456"/>
      <c r="L56" s="1455"/>
    </row>
    <row r="57" spans="2:12" ht="15" x14ac:dyDescent="0.2">
      <c r="D57" s="1453"/>
      <c r="E57" s="1456"/>
      <c r="F57" s="1507"/>
      <c r="G57" s="930"/>
      <c r="J57" s="1453"/>
      <c r="K57" s="1456"/>
      <c r="L57" s="1507"/>
    </row>
    <row r="58" spans="2:12" ht="19.5" customHeight="1" x14ac:dyDescent="0.2">
      <c r="F58" s="1013">
        <f>F52+(F53*3%)+F54+F55+F57</f>
        <v>0</v>
      </c>
      <c r="L58" s="1013">
        <f>L52+(L53*3%)+L54+L55+L57</f>
        <v>0</v>
      </c>
    </row>
    <row r="59" spans="2:12" ht="22.5" x14ac:dyDescent="0.2">
      <c r="B59" s="1568" t="s">
        <v>30</v>
      </c>
      <c r="C59" s="1568"/>
      <c r="D59" s="1568"/>
      <c r="E59" s="1568"/>
      <c r="F59" s="1568"/>
      <c r="G59" s="1568"/>
      <c r="H59" s="1568"/>
      <c r="I59" s="1568"/>
      <c r="J59" s="1568"/>
      <c r="K59" s="1568"/>
      <c r="L59" s="1568"/>
    </row>
    <row r="60" spans="2:12" ht="15" customHeight="1" x14ac:dyDescent="0.2">
      <c r="B60" s="1014"/>
      <c r="C60" s="1014"/>
      <c r="D60" s="1014"/>
      <c r="E60" s="1014"/>
      <c r="F60" s="1014"/>
      <c r="G60" s="1014"/>
      <c r="H60" s="1014"/>
      <c r="I60" s="1014"/>
      <c r="J60" s="1014"/>
      <c r="K60" s="1014"/>
      <c r="L60" s="1014"/>
    </row>
    <row r="61" spans="2:12" ht="22.5" x14ac:dyDescent="0.2">
      <c r="B61" s="1566" t="s">
        <v>31</v>
      </c>
      <c r="C61" s="1566"/>
      <c r="D61" s="1566"/>
      <c r="E61" s="1014"/>
      <c r="F61" s="1457">
        <f>' VBS Criteria'!M11</f>
        <v>0</v>
      </c>
      <c r="G61" s="1014"/>
      <c r="H61" s="996" t="s">
        <v>386</v>
      </c>
      <c r="I61" s="1014"/>
      <c r="J61" s="1509" t="str">
        <f>IFERROR(SUM(F61/F29),"")</f>
        <v/>
      </c>
      <c r="K61" s="1014"/>
      <c r="L61" s="1552"/>
    </row>
    <row r="62" spans="2:12" ht="4.5" customHeight="1" x14ac:dyDescent="0.2">
      <c r="B62" s="1015"/>
      <c r="C62" s="1015"/>
      <c r="D62" s="1015"/>
    </row>
    <row r="63" spans="2:12" ht="22.5" customHeight="1" x14ac:dyDescent="0.2">
      <c r="B63" s="1566" t="s">
        <v>32</v>
      </c>
      <c r="C63" s="1566"/>
      <c r="D63" s="1566"/>
      <c r="E63" s="944"/>
      <c r="F63" s="1458" t="str">
        <f>IFERROR(MIN(' VBS Criteria'!P28,6.5*(F29+L29+F36+L36)),"")</f>
        <v/>
      </c>
      <c r="H63" s="996" t="s">
        <v>33</v>
      </c>
      <c r="J63" s="1563" t="str">
        <f>IF(ISBLANK(F49),"Input Monthly Council Tax",IFERROR(IF(M41&gt;0,"Input Net Monthly Income",IF(F61&gt;F63,"Fail",IF(F61&gt;=F63*1.2,"Fail",IF(F61&gt;=F63*1,"Refer to Intermediary Team",IF(J61&gt;=6.5,"Income Multiple – Refer to Intermediary Team","Pass"))))),""))</f>
        <v>Input Monthly Council Tax</v>
      </c>
      <c r="K63" s="1564"/>
      <c r="L63" s="1565"/>
    </row>
    <row r="64" spans="2:12" ht="4.5" customHeight="1" x14ac:dyDescent="0.2">
      <c r="B64" s="1016"/>
      <c r="C64" s="1005"/>
      <c r="D64" s="1017"/>
      <c r="E64" s="970"/>
      <c r="F64" s="970"/>
      <c r="H64" s="1018"/>
      <c r="J64" s="1019"/>
      <c r="K64" s="1019"/>
      <c r="L64" s="1019"/>
    </row>
    <row r="65" spans="2:12" ht="24" customHeight="1" x14ac:dyDescent="0.2">
      <c r="B65" s="1566" t="s">
        <v>34</v>
      </c>
      <c r="C65" s="1566"/>
      <c r="D65" s="1566"/>
      <c r="E65" s="944"/>
      <c r="F65" s="1458" t="e">
        <f>' VBS Criteria'!P36</f>
        <v>#N/A</v>
      </c>
      <c r="H65" s="996" t="s">
        <v>33</v>
      </c>
      <c r="J65" s="1563" t="e">
        <f>IF(J23&gt;70%,"Interest-only above 70% LTV - refer",IF($F$61&gt;=F65*1.2,"Fail", IF($F$61&gt;=F65*1,"Refer to Intermediary Team","Pass")))</f>
        <v>#N/A</v>
      </c>
      <c r="K65" s="1564"/>
      <c r="L65" s="1565"/>
    </row>
    <row r="66" spans="2:12" ht="4.5" customHeight="1" x14ac:dyDescent="0.2">
      <c r="B66" s="1016"/>
      <c r="C66" s="1005"/>
      <c r="D66" s="1017"/>
      <c r="E66" s="970"/>
      <c r="F66" s="970"/>
      <c r="H66" s="1018"/>
      <c r="J66" s="1019"/>
      <c r="K66" s="1019"/>
      <c r="L66" s="1019"/>
    </row>
    <row r="67" spans="2:12" ht="25.5" customHeight="1" x14ac:dyDescent="0.2">
      <c r="B67" s="1566" t="s">
        <v>35</v>
      </c>
      <c r="C67" s="1566"/>
      <c r="D67" s="1566"/>
      <c r="E67" s="970"/>
      <c r="F67" s="1510" t="e">
        <f>' VBS Criteria'!P52</f>
        <v>#N/A</v>
      </c>
      <c r="H67" s="996" t="s">
        <v>33</v>
      </c>
      <c r="J67" s="1563" t="e">
        <f>IF($F$61&gt;=F67*1.2,"Fail",IF($F$61&gt;=F67*1,"Refer to Intermediary Team","Pass"))</f>
        <v>#N/A</v>
      </c>
      <c r="K67" s="1564"/>
      <c r="L67" s="1565"/>
    </row>
    <row r="68" spans="2:12" ht="6" customHeight="1" x14ac:dyDescent="0.2">
      <c r="B68" s="1020"/>
      <c r="C68" s="933"/>
      <c r="D68" s="944"/>
      <c r="E68" s="944"/>
      <c r="F68" s="944"/>
      <c r="H68" s="1021"/>
      <c r="J68" s="1019"/>
      <c r="K68" s="1019"/>
      <c r="L68" s="1019"/>
    </row>
    <row r="69" spans="2:12" ht="6" customHeight="1" x14ac:dyDescent="0.2">
      <c r="B69" s="1020"/>
      <c r="C69" s="933"/>
      <c r="D69" s="944"/>
      <c r="E69" s="944"/>
      <c r="F69" s="944"/>
      <c r="H69" s="1021"/>
      <c r="J69" s="1019"/>
      <c r="K69" s="1019"/>
      <c r="L69" s="1019"/>
    </row>
    <row r="70" spans="2:12" ht="24" customHeight="1" x14ac:dyDescent="0.2">
      <c r="B70" s="1568" t="s">
        <v>37</v>
      </c>
      <c r="C70" s="1568"/>
      <c r="D70" s="1568"/>
      <c r="E70" s="1568"/>
      <c r="F70" s="1568"/>
      <c r="G70" s="1568"/>
      <c r="H70" s="1568"/>
      <c r="I70" s="1568"/>
      <c r="J70" s="1568"/>
      <c r="K70" s="1568"/>
      <c r="L70" s="1568"/>
    </row>
    <row r="71" spans="2:12" ht="6" customHeight="1" x14ac:dyDescent="0.2"/>
    <row r="72" spans="2:12" ht="18" x14ac:dyDescent="0.25">
      <c r="B72" s="1477" t="s">
        <v>17</v>
      </c>
    </row>
    <row r="73" spans="2:12" x14ac:dyDescent="0.2">
      <c r="B73" s="1585" t="s">
        <v>38</v>
      </c>
      <c r="C73" s="1586"/>
      <c r="D73" s="1587"/>
      <c r="E73" s="1579" t="s">
        <v>1772</v>
      </c>
      <c r="F73" s="1580"/>
      <c r="G73" s="1580"/>
      <c r="H73" s="1580"/>
      <c r="I73" s="1580"/>
      <c r="J73" s="1580"/>
      <c r="K73" s="1580"/>
      <c r="L73" s="1581"/>
    </row>
    <row r="74" spans="2:12" x14ac:dyDescent="0.2">
      <c r="B74" s="1585" t="s">
        <v>39</v>
      </c>
      <c r="C74" s="1586"/>
      <c r="D74" s="1587"/>
      <c r="E74" s="1582" t="s">
        <v>1810</v>
      </c>
      <c r="F74" s="1583"/>
      <c r="G74" s="1583"/>
      <c r="H74" s="1583"/>
      <c r="I74" s="1583"/>
      <c r="J74" s="1583"/>
      <c r="K74" s="1583"/>
      <c r="L74" s="1584"/>
    </row>
    <row r="75" spans="2:12" x14ac:dyDescent="0.2">
      <c r="B75" s="1585" t="s">
        <v>40</v>
      </c>
      <c r="C75" s="1586"/>
      <c r="D75" s="1587"/>
      <c r="E75" s="1579" t="s">
        <v>1773</v>
      </c>
      <c r="F75" s="1580"/>
      <c r="G75" s="1580"/>
      <c r="H75" s="1580"/>
      <c r="I75" s="1580"/>
      <c r="J75" s="1580"/>
      <c r="K75" s="1580"/>
      <c r="L75" s="1581"/>
    </row>
    <row r="76" spans="2:12" x14ac:dyDescent="0.2">
      <c r="B76" s="1585" t="s">
        <v>41</v>
      </c>
      <c r="C76" s="1586"/>
      <c r="D76" s="1587"/>
      <c r="E76" s="1579" t="s">
        <v>42</v>
      </c>
      <c r="F76" s="1580"/>
      <c r="G76" s="1580"/>
      <c r="H76" s="1580"/>
      <c r="I76" s="1580"/>
      <c r="J76" s="1580"/>
      <c r="K76" s="1580"/>
      <c r="L76" s="1581"/>
    </row>
    <row r="77" spans="2:12" x14ac:dyDescent="0.2">
      <c r="B77" s="1585" t="s">
        <v>43</v>
      </c>
      <c r="C77" s="1586"/>
      <c r="D77" s="1587"/>
      <c r="E77" s="1579" t="s">
        <v>1809</v>
      </c>
      <c r="F77" s="1580"/>
      <c r="G77" s="1580"/>
      <c r="H77" s="1580"/>
      <c r="I77" s="1580"/>
      <c r="J77" s="1580"/>
      <c r="K77" s="1580"/>
      <c r="L77" s="1581"/>
    </row>
    <row r="78" spans="2:12" x14ac:dyDescent="0.2">
      <c r="B78" s="1585" t="s">
        <v>44</v>
      </c>
      <c r="C78" s="1586"/>
      <c r="D78" s="1587"/>
      <c r="E78" s="1579" t="s">
        <v>45</v>
      </c>
      <c r="F78" s="1580"/>
      <c r="G78" s="1580"/>
      <c r="H78" s="1580"/>
      <c r="I78" s="1580"/>
      <c r="J78" s="1580"/>
      <c r="K78" s="1580"/>
      <c r="L78" s="1581"/>
    </row>
    <row r="79" spans="2:12" ht="18" x14ac:dyDescent="0.25">
      <c r="B79" s="1477" t="s">
        <v>23</v>
      </c>
      <c r="E79" s="1459"/>
      <c r="F79" s="1460"/>
      <c r="G79" s="1460"/>
      <c r="H79" s="1459"/>
      <c r="I79" s="1459"/>
      <c r="J79" s="1459"/>
      <c r="K79" s="1459"/>
      <c r="L79" s="1459"/>
    </row>
    <row r="80" spans="2:12" x14ac:dyDescent="0.2">
      <c r="B80" s="1585" t="s">
        <v>24</v>
      </c>
      <c r="C80" s="1586"/>
      <c r="D80" s="1587"/>
      <c r="E80" s="1579" t="s">
        <v>46</v>
      </c>
      <c r="F80" s="1580"/>
      <c r="G80" s="1580"/>
      <c r="H80" s="1580"/>
      <c r="I80" s="1580"/>
      <c r="J80" s="1580"/>
      <c r="K80" s="1580"/>
      <c r="L80" s="1581"/>
    </row>
    <row r="81" spans="2:12" x14ac:dyDescent="0.2">
      <c r="B81" s="1585" t="s">
        <v>47</v>
      </c>
      <c r="C81" s="1586"/>
      <c r="D81" s="1587"/>
      <c r="E81" s="1579" t="s">
        <v>48</v>
      </c>
      <c r="F81" s="1580"/>
      <c r="G81" s="1580"/>
      <c r="H81" s="1580"/>
      <c r="I81" s="1580"/>
      <c r="J81" s="1580"/>
      <c r="K81" s="1580"/>
      <c r="L81" s="1581"/>
    </row>
    <row r="82" spans="2:12" x14ac:dyDescent="0.2">
      <c r="B82" s="1585" t="s">
        <v>26</v>
      </c>
      <c r="C82" s="1586"/>
      <c r="D82" s="1587"/>
      <c r="E82" s="1579" t="s">
        <v>49</v>
      </c>
      <c r="F82" s="1580"/>
      <c r="G82" s="1580"/>
      <c r="H82" s="1580"/>
      <c r="I82" s="1580"/>
      <c r="J82" s="1580"/>
      <c r="K82" s="1580"/>
      <c r="L82" s="1581"/>
    </row>
    <row r="83" spans="2:12" x14ac:dyDescent="0.2">
      <c r="B83" s="1585" t="s">
        <v>27</v>
      </c>
      <c r="C83" s="1586"/>
      <c r="D83" s="1587"/>
      <c r="E83" s="1579" t="s">
        <v>50</v>
      </c>
      <c r="F83" s="1580"/>
      <c r="G83" s="1580"/>
      <c r="H83" s="1580"/>
      <c r="I83" s="1580"/>
      <c r="J83" s="1580"/>
      <c r="K83" s="1580"/>
      <c r="L83" s="1581"/>
    </row>
    <row r="84" spans="2:12" ht="15" customHeight="1" x14ac:dyDescent="0.2">
      <c r="B84" s="1384"/>
      <c r="C84" s="1384"/>
      <c r="D84" s="1384" t="s">
        <v>1757</v>
      </c>
      <c r="E84" s="1576" t="s">
        <v>1758</v>
      </c>
      <c r="F84" s="1577"/>
      <c r="G84" s="1577"/>
      <c r="H84" s="1577"/>
      <c r="I84" s="1577"/>
      <c r="J84" s="1577"/>
      <c r="K84" s="1577"/>
      <c r="L84" s="1578"/>
    </row>
    <row r="85" spans="2:12" x14ac:dyDescent="0.2">
      <c r="B85" s="1575" t="s">
        <v>28</v>
      </c>
      <c r="C85" s="1575"/>
      <c r="D85" s="1575"/>
      <c r="E85" s="1574" t="s">
        <v>51</v>
      </c>
      <c r="F85" s="1574"/>
      <c r="G85" s="1574"/>
      <c r="H85" s="1574"/>
      <c r="I85" s="1574"/>
      <c r="J85" s="1574"/>
      <c r="K85" s="1574"/>
      <c r="L85" s="1574"/>
    </row>
    <row r="86" spans="2:12" ht="18" x14ac:dyDescent="0.25">
      <c r="B86" s="1477" t="s">
        <v>52</v>
      </c>
      <c r="E86" s="1459"/>
      <c r="F86" s="1460"/>
      <c r="G86" s="1460"/>
      <c r="H86" s="1459"/>
      <c r="I86" s="1459"/>
      <c r="J86" s="1459"/>
      <c r="K86" s="1459"/>
      <c r="L86" s="1459"/>
    </row>
    <row r="87" spans="2:12" x14ac:dyDescent="0.2">
      <c r="B87" s="1575" t="s">
        <v>4</v>
      </c>
      <c r="C87" s="1575"/>
      <c r="D87" s="1575"/>
      <c r="E87" s="1574" t="s">
        <v>53</v>
      </c>
      <c r="F87" s="1574"/>
      <c r="G87" s="1574"/>
      <c r="H87" s="1574"/>
      <c r="I87" s="1574"/>
      <c r="J87" s="1574"/>
      <c r="K87" s="1574"/>
      <c r="L87" s="1574"/>
    </row>
    <row r="88" spans="2:12" x14ac:dyDescent="0.2">
      <c r="B88" s="1575" t="s">
        <v>5</v>
      </c>
      <c r="C88" s="1575"/>
      <c r="D88" s="1575"/>
      <c r="E88" s="1574" t="s">
        <v>54</v>
      </c>
      <c r="F88" s="1574"/>
      <c r="G88" s="1574"/>
      <c r="H88" s="1574"/>
      <c r="I88" s="1574"/>
      <c r="J88" s="1574"/>
      <c r="K88" s="1574"/>
      <c r="L88" s="1574"/>
    </row>
    <row r="89" spans="2:12" x14ac:dyDescent="0.2">
      <c r="B89" s="1575" t="s">
        <v>55</v>
      </c>
      <c r="C89" s="1575"/>
      <c r="D89" s="1575"/>
      <c r="E89" s="1574" t="s">
        <v>56</v>
      </c>
      <c r="F89" s="1574"/>
      <c r="G89" s="1574"/>
      <c r="H89" s="1574"/>
      <c r="I89" s="1574"/>
      <c r="J89" s="1574"/>
      <c r="K89" s="1574"/>
      <c r="L89" s="1574"/>
    </row>
    <row r="90" spans="2:12" x14ac:dyDescent="0.2">
      <c r="B90" s="1461" t="str">
        <f>CONCATENATE("Stress Rate Used - ",' VBS Criteria'!C43)</f>
        <v>Stress Rate Used - 1.75</v>
      </c>
      <c r="C90" s="1016" t="s">
        <v>57</v>
      </c>
    </row>
    <row r="93" spans="2:12" ht="15" hidden="1" thickBot="1" x14ac:dyDescent="0.25">
      <c r="B93" s="1556" t="s">
        <v>58</v>
      </c>
      <c r="C93" s="1557"/>
      <c r="D93" s="1557"/>
      <c r="E93" s="1557"/>
      <c r="F93" s="1557"/>
      <c r="G93" s="1557"/>
      <c r="H93" s="1557"/>
      <c r="I93" s="1557"/>
      <c r="J93" s="1557"/>
      <c r="K93" s="1557"/>
      <c r="L93" s="1558"/>
    </row>
    <row r="94" spans="2:12" hidden="1" x14ac:dyDescent="0.2">
      <c r="B94" s="1080"/>
      <c r="C94" s="1080"/>
      <c r="D94" s="1080"/>
      <c r="E94" s="1080"/>
      <c r="F94" s="1081"/>
      <c r="G94" s="1081"/>
      <c r="H94" s="1080"/>
      <c r="I94" s="1080"/>
      <c r="J94" s="1080"/>
      <c r="K94" s="1080"/>
      <c r="L94" s="1080"/>
    </row>
    <row r="95" spans="2:12" ht="15" hidden="1" x14ac:dyDescent="0.2">
      <c r="B95" s="1559" t="s">
        <v>59</v>
      </c>
      <c r="C95" s="1559"/>
      <c r="D95" s="1559"/>
      <c r="E95" s="1559"/>
      <c r="F95" s="1561">
        <f>' VBS Criteria'!M15</f>
        <v>0</v>
      </c>
      <c r="G95" s="1561"/>
      <c r="H95" s="1080"/>
      <c r="I95" s="1080"/>
      <c r="J95" s="1080" t="s">
        <v>60</v>
      </c>
      <c r="K95" s="1080"/>
      <c r="L95" s="1082">
        <f>' VBS Criteria'!M21</f>
        <v>0</v>
      </c>
    </row>
    <row r="96" spans="2:12" ht="15" hidden="1" x14ac:dyDescent="0.2">
      <c r="B96" s="1559" t="s">
        <v>61</v>
      </c>
      <c r="C96" s="1559"/>
      <c r="D96" s="1559"/>
      <c r="E96" s="1559"/>
      <c r="F96" s="1560" t="str">
        <f>IF(F95="Capital &amp; Interest",' VBS Criteria'!P21,IF(F95="Interest Only",' VBS Criteria'!P31,IF(F95="Part &amp; Part",' VBS Criteria'!P46,"")))</f>
        <v/>
      </c>
      <c r="G96" s="1560"/>
      <c r="H96" s="1080"/>
      <c r="I96" s="1080"/>
      <c r="J96" s="1083" t="s">
        <v>62</v>
      </c>
      <c r="K96" s="1083"/>
      <c r="L96" s="1084">
        <f>' VBS Criteria'!M22</f>
        <v>0</v>
      </c>
    </row>
    <row r="97" spans="2:12" ht="15" hidden="1" x14ac:dyDescent="0.2">
      <c r="B97" s="1559" t="s">
        <v>63</v>
      </c>
      <c r="C97" s="1559"/>
      <c r="D97" s="1559"/>
      <c r="E97" s="1559"/>
      <c r="F97" s="1562" t="str">
        <f>IFERROR(F96/' VBS Criteria'!M21,"")</f>
        <v/>
      </c>
      <c r="G97" s="1562"/>
      <c r="H97" s="1080"/>
      <c r="I97" s="1080"/>
      <c r="J97" s="1080" t="s">
        <v>64</v>
      </c>
      <c r="K97" s="1080"/>
      <c r="L97" s="1082" t="e">
        <f>' VBS Criteria'!M24</f>
        <v>#N/A</v>
      </c>
    </row>
    <row r="98" spans="2:12" ht="15" hidden="1" x14ac:dyDescent="0.2">
      <c r="B98" s="1559" t="s">
        <v>65</v>
      </c>
      <c r="C98" s="1559"/>
      <c r="D98" s="1559"/>
      <c r="E98" s="1559"/>
      <c r="F98" s="1560" t="str">
        <f>IF(F95="Capital &amp; Interest",' VBS Criteria'!P23,IF(F95="Interest Only",' VBS Criteria'!P33,IF(F95="Part &amp; Part",' VBS Criteria'!P48,"")))</f>
        <v/>
      </c>
      <c r="G98" s="1560"/>
      <c r="H98" s="1080"/>
      <c r="I98" s="1080"/>
      <c r="J98" s="1080" t="s">
        <v>66</v>
      </c>
      <c r="K98" s="1080"/>
      <c r="L98" s="1082" t="str">
        <f>' VBS Criteria'!M25</f>
        <v>Included below</v>
      </c>
    </row>
    <row r="99" spans="2:12" ht="15" hidden="1" x14ac:dyDescent="0.2">
      <c r="B99" s="1559" t="s">
        <v>67</v>
      </c>
      <c r="C99" s="1559"/>
      <c r="D99" s="1559"/>
      <c r="E99" s="1559"/>
      <c r="F99" s="1560" t="str">
        <f>IF(F95="Capital &amp; Interest",' VBS Criteria'!P24,IF(F95="Interest Only","N/A",IF(F95="Part &amp; Part",' VBS Criteria'!P49,"")))</f>
        <v/>
      </c>
      <c r="G99" s="1560"/>
      <c r="H99" s="1080"/>
      <c r="I99" s="1080"/>
      <c r="J99" s="1080" t="s">
        <v>68</v>
      </c>
      <c r="K99" s="1080"/>
      <c r="L99" s="1082">
        <f>' VBS Criteria'!M26</f>
        <v>0</v>
      </c>
    </row>
    <row r="100" spans="2:12" ht="15" hidden="1" x14ac:dyDescent="0.2">
      <c r="B100" s="1559" t="s">
        <v>69</v>
      </c>
      <c r="C100" s="1559"/>
      <c r="D100" s="1559"/>
      <c r="E100" s="1559"/>
      <c r="F100" s="1560" t="str">
        <f>IF(F95="Capital &amp; Interest",' VBS Criteria'!P22,IF(F95="Interest Only","N/A",IF(F95="Part &amp; Part",' VBS Criteria'!P47,"")))</f>
        <v/>
      </c>
      <c r="G100" s="1560"/>
      <c r="H100" s="1080"/>
      <c r="I100" s="1080"/>
      <c r="J100" s="1083" t="s">
        <v>70</v>
      </c>
      <c r="K100" s="1083"/>
      <c r="L100" s="1085" t="e">
        <f>' VBS Criteria'!M27</f>
        <v>#N/A</v>
      </c>
    </row>
    <row r="101" spans="2:12" hidden="1" x14ac:dyDescent="0.2">
      <c r="B101" s="1086"/>
      <c r="C101" s="1086"/>
      <c r="D101" s="1086"/>
      <c r="E101" s="1086"/>
      <c r="F101" s="1086"/>
      <c r="G101" s="1086"/>
      <c r="H101" s="1080"/>
      <c r="I101" s="1080"/>
      <c r="J101" s="1080"/>
      <c r="K101" s="1080"/>
      <c r="L101" s="1080"/>
    </row>
    <row r="102" spans="2:12" ht="15" hidden="1" x14ac:dyDescent="0.2">
      <c r="B102" s="1554" t="s">
        <v>71</v>
      </c>
      <c r="C102" s="1554"/>
      <c r="D102" s="1554"/>
      <c r="E102" s="1554"/>
      <c r="F102" s="1555" t="str">
        <f>IF(F95="Capital &amp; Interest",' VBS Criteria'!P28,IF(F95="Interest Only",' VBS Criteria'!P36,IF(F95="Part &amp; Part",' VBS Criteria'!P52,"")))</f>
        <v/>
      </c>
      <c r="G102" s="1555"/>
      <c r="H102" s="1080"/>
      <c r="I102" s="1080"/>
      <c r="J102" s="1083" t="s">
        <v>72</v>
      </c>
      <c r="K102" s="1083"/>
      <c r="L102" s="1085" t="e">
        <f>' VBS Criteria'!M29</f>
        <v>#N/A</v>
      </c>
    </row>
    <row r="103" spans="2:12" hidden="1" x14ac:dyDescent="0.2">
      <c r="B103" s="1080"/>
      <c r="C103" s="1080"/>
      <c r="D103" s="1080"/>
      <c r="E103" s="1080"/>
      <c r="F103" s="1081"/>
      <c r="G103" s="1081"/>
      <c r="H103" s="1080"/>
      <c r="I103" s="1080"/>
      <c r="J103" s="1080"/>
      <c r="K103" s="1080"/>
      <c r="L103" s="1080"/>
    </row>
    <row r="104" spans="2:12" hidden="1" x14ac:dyDescent="0.2">
      <c r="B104" s="1080"/>
      <c r="C104" s="1080"/>
      <c r="D104" s="1080"/>
      <c r="E104" s="1080"/>
      <c r="F104" s="1081"/>
      <c r="G104" s="1081"/>
      <c r="H104" s="1080"/>
      <c r="I104" s="1080"/>
      <c r="J104" s="1083" t="s">
        <v>73</v>
      </c>
      <c r="K104" s="1080"/>
      <c r="L104" s="1084" t="str">
        <f>IF(F95="Capital &amp; Interest",' VBS Criteria'!P25,IF(F95="Interest Only",' VBS Criteria'!P34,IF(F95="Part &amp; Part",' VBS Criteria'!P44,"")))</f>
        <v/>
      </c>
    </row>
    <row r="105" spans="2:12" hidden="1" x14ac:dyDescent="0.2">
      <c r="B105" s="1080"/>
      <c r="C105" s="1080"/>
      <c r="D105" s="1080"/>
      <c r="E105" s="1080"/>
      <c r="F105" s="1081"/>
      <c r="G105" s="1081"/>
      <c r="H105" s="1080"/>
      <c r="I105" s="1080"/>
      <c r="J105" s="1080"/>
      <c r="K105" s="1080"/>
      <c r="L105" s="1080"/>
    </row>
    <row r="106" spans="2:12" hidden="1" x14ac:dyDescent="0.2">
      <c r="B106" s="1080"/>
      <c r="C106" s="1080"/>
      <c r="D106" s="1080"/>
      <c r="E106" s="1080"/>
      <c r="F106" s="1081"/>
      <c r="G106" s="1081"/>
      <c r="H106" s="1080"/>
      <c r="I106" s="1080"/>
      <c r="J106" s="1083" t="s">
        <v>74</v>
      </c>
      <c r="K106" s="1080"/>
      <c r="L106" s="1087" t="e">
        <f>L102-L104</f>
        <v>#N/A</v>
      </c>
    </row>
    <row r="107" spans="2:12" hidden="1" x14ac:dyDescent="0.2">
      <c r="B107" s="1080"/>
      <c r="C107" s="1080"/>
      <c r="D107" s="1080"/>
      <c r="E107" s="1080"/>
      <c r="F107" s="1081"/>
      <c r="G107" s="1081"/>
      <c r="H107" s="1080"/>
      <c r="I107" s="1080"/>
      <c r="J107" s="1080"/>
      <c r="K107" s="1080"/>
      <c r="L107" s="1080"/>
    </row>
    <row r="108" spans="2:12" hidden="1" x14ac:dyDescent="0.2">
      <c r="B108" s="1080"/>
      <c r="C108" s="1080"/>
      <c r="D108" s="1080"/>
      <c r="E108" s="1080"/>
      <c r="F108" s="1081"/>
      <c r="G108" s="1081"/>
      <c r="H108" s="1080"/>
      <c r="I108" s="1080"/>
      <c r="J108" s="1080"/>
      <c r="K108" s="1080"/>
      <c r="L108" s="1080"/>
    </row>
  </sheetData>
  <sheetProtection algorithmName="SHA-512" hashValue="1LOGC7Hae2xwrdTyCLSHc3eLwduIm5g6zcTOh448RfkOcpHehK+PmNrCR/36qLbLvWBv/7ZePM90VFJ8ymQrvQ==" saltValue="bVq1UQg7A8ACBtb3UpmMvg==" spinCount="100000" sheet="1" objects="1" scenarios="1"/>
  <mergeCells count="66">
    <mergeCell ref="B83:D83"/>
    <mergeCell ref="B82:D82"/>
    <mergeCell ref="B81:D81"/>
    <mergeCell ref="B74:D74"/>
    <mergeCell ref="B73:D73"/>
    <mergeCell ref="B75:D75"/>
    <mergeCell ref="B76:D76"/>
    <mergeCell ref="B77:D77"/>
    <mergeCell ref="B78:D78"/>
    <mergeCell ref="B80:D80"/>
    <mergeCell ref="E78:L78"/>
    <mergeCell ref="E80:L80"/>
    <mergeCell ref="E81:L81"/>
    <mergeCell ref="E82:L82"/>
    <mergeCell ref="E83:L83"/>
    <mergeCell ref="E73:L73"/>
    <mergeCell ref="E74:L74"/>
    <mergeCell ref="E75:L75"/>
    <mergeCell ref="E76:L76"/>
    <mergeCell ref="E77:L77"/>
    <mergeCell ref="E89:L89"/>
    <mergeCell ref="B85:D85"/>
    <mergeCell ref="B87:D87"/>
    <mergeCell ref="E84:L84"/>
    <mergeCell ref="B88:D88"/>
    <mergeCell ref="B89:D89"/>
    <mergeCell ref="E85:L85"/>
    <mergeCell ref="E87:L87"/>
    <mergeCell ref="E88:L88"/>
    <mergeCell ref="B70:L70"/>
    <mergeCell ref="B43:L43"/>
    <mergeCell ref="B7:L7"/>
    <mergeCell ref="B59:L59"/>
    <mergeCell ref="B15:L15"/>
    <mergeCell ref="B27:L27"/>
    <mergeCell ref="B17:D17"/>
    <mergeCell ref="B19:D19"/>
    <mergeCell ref="B23:D23"/>
    <mergeCell ref="B25:D25"/>
    <mergeCell ref="H25:J25"/>
    <mergeCell ref="B31:D31"/>
    <mergeCell ref="B61:D61"/>
    <mergeCell ref="B63:D63"/>
    <mergeCell ref="B65:D65"/>
    <mergeCell ref="J63:L63"/>
    <mergeCell ref="J65:L65"/>
    <mergeCell ref="B67:D67"/>
    <mergeCell ref="J67:L67"/>
    <mergeCell ref="H31:J31"/>
    <mergeCell ref="B38:D38"/>
    <mergeCell ref="H38:J38"/>
    <mergeCell ref="B102:E102"/>
    <mergeCell ref="F102:G102"/>
    <mergeCell ref="B93:L93"/>
    <mergeCell ref="B98:E98"/>
    <mergeCell ref="F98:G98"/>
    <mergeCell ref="B99:E99"/>
    <mergeCell ref="F99:G99"/>
    <mergeCell ref="B100:E100"/>
    <mergeCell ref="F100:G100"/>
    <mergeCell ref="B95:E95"/>
    <mergeCell ref="F95:G95"/>
    <mergeCell ref="B96:E96"/>
    <mergeCell ref="F96:G96"/>
    <mergeCell ref="B97:E97"/>
    <mergeCell ref="F97:G97"/>
  </mergeCells>
  <phoneticPr fontId="89" type="noConversion"/>
  <conditionalFormatting sqref="B21:J21">
    <cfRule type="expression" dxfId="38" priority="47">
      <formula>$F$17&lt;&gt;"Part &amp; Part"</formula>
    </cfRule>
  </conditionalFormatting>
  <conditionalFormatting sqref="B19 E19:G19">
    <cfRule type="expression" dxfId="37" priority="49">
      <formula>$F$17="Part &amp; Part"</formula>
    </cfRule>
  </conditionalFormatting>
  <conditionalFormatting sqref="J63:L63">
    <cfRule type="expression" dxfId="36" priority="11">
      <formula>$J$63="Pass"</formula>
    </cfRule>
  </conditionalFormatting>
  <conditionalFormatting sqref="J65:L65">
    <cfRule type="expression" dxfId="35" priority="10">
      <formula>$J$65="pass"</formula>
    </cfRule>
  </conditionalFormatting>
  <conditionalFormatting sqref="J67:L67">
    <cfRule type="expression" dxfId="34" priority="3">
      <formula>$J$63="Pass"</formula>
    </cfRule>
  </conditionalFormatting>
  <conditionalFormatting sqref="F97:G97">
    <cfRule type="cellIs" dxfId="33" priority="1" operator="greaterThan">
      <formula>5</formula>
    </cfRule>
  </conditionalFormatting>
  <dataValidations count="3">
    <dataValidation type="whole" allowBlank="1" showInputMessage="1" showErrorMessage="1" error="maximum number of applicants is 4" sqref="D13" xr:uid="{9AE71471-9AB0-4BD2-B31F-BA0F8750DCD7}">
      <formula1>0</formula1>
      <formula2>4</formula2>
    </dataValidation>
    <dataValidation type="custom" errorStyle="warning" allowBlank="1" showInputMessage="1" showErrorMessage="1" errorTitle="Exceeds Max LTV" error="The Loan Amount Exceeds the Maximum LTV Permitted" promptTitle="Loan Amount Exceeds Maximum LTV" sqref="F19" xr:uid="{76AB0CBB-FA83-4944-818B-D717DCD913BD}">
      <formula1>F19&lt;=((F23*95%)+1499)</formula1>
    </dataValidation>
    <dataValidation allowBlank="1" showInputMessage="1" showErrorMessage="1" promptTitle="LTV Exceeds Maximum" sqref="J23" xr:uid="{C7E78AA9-A625-4D93-8704-735D76149B66}"/>
  </dataValidations>
  <pageMargins left="0.7" right="0.7" top="0.75" bottom="0.75" header="0.3" footer="0.3"/>
  <pageSetup paperSize="9" scale="45"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6" id="{CDCFD23E-AF29-4797-A901-F8FA8C570181}">
            <xm:f>$J$1='Drop down'!$C$7</xm:f>
            <x14:dxf>
              <font>
                <color theme="0"/>
              </font>
              <fill>
                <patternFill>
                  <bgColor theme="0"/>
                </patternFill>
              </fill>
              <border>
                <left/>
                <right/>
                <top/>
                <bottom/>
              </border>
            </x14:dxf>
          </x14:cfRule>
          <xm:sqref>F9:G13 F14</xm:sqref>
        </x14:conditionalFormatting>
        <x14:conditionalFormatting xmlns:xm="http://schemas.microsoft.com/office/excel/2006/main">
          <x14:cfRule type="expression" priority="8" id="{BB4EE7EF-6DDA-44AF-B4D1-F2FBCBF5F9F6}">
            <xm:f>' VBS Criteria'!$M$50&lt;&gt;"Interest-Only"</xm:f>
            <x14:dxf>
              <font>
                <color theme="0"/>
              </font>
              <fill>
                <patternFill>
                  <bgColor theme="0"/>
                </patternFill>
              </fill>
              <border>
                <left/>
                <right/>
                <top/>
                <bottom/>
                <vertical/>
                <horizontal/>
              </border>
            </x14:dxf>
          </x14:cfRule>
          <xm:sqref>B65:L65</xm:sqref>
        </x14:conditionalFormatting>
        <x14:conditionalFormatting xmlns:xm="http://schemas.microsoft.com/office/excel/2006/main">
          <x14:cfRule type="expression" priority="2" id="{7D3EF105-63B5-4EDD-B190-9D5E093E2A65}">
            <xm:f>' VBS Criteria'!$M$50&lt;&gt;"Part &amp; Part"</xm:f>
            <x14:dxf>
              <font>
                <color theme="0"/>
              </font>
              <fill>
                <patternFill>
                  <bgColor theme="0"/>
                </patternFill>
              </fill>
              <border>
                <left/>
                <right/>
                <top/>
                <bottom/>
                <vertical/>
                <horizontal/>
              </border>
            </x14:dxf>
          </x14:cfRule>
          <xm:sqref>B67:L67</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C3BBA0D5-219F-4418-B007-7A73AC17E436}">
          <x14:formula1>
            <xm:f>'Drop down'!$A$2:$A$41</xm:f>
          </x14:formula1>
          <xm:sqref>F25</xm:sqref>
        </x14:dataValidation>
        <x14:dataValidation type="list" allowBlank="1" showInputMessage="1" showErrorMessage="1" xr:uid="{AD42820C-FEA2-4A29-8CA4-4FD0B4085C2E}">
          <x14:formula1>
            <xm:f>'Drop down'!$G$2:$G$3</xm:f>
          </x14:formula1>
          <xm:sqref>H13</xm:sqref>
        </x14:dataValidation>
        <x14:dataValidation type="list" allowBlank="1" showInputMessage="1" showErrorMessage="1" xr:uid="{2E02669B-0E29-4EDF-A2CC-372EED49BD5E}">
          <x14:formula1>
            <xm:f>'Drop down'!$E$2:$E$5</xm:f>
          </x14:formula1>
          <xm:sqref>L13</xm:sqref>
        </x14:dataValidation>
        <x14:dataValidation type="list" allowBlank="1" showInputMessage="1" showErrorMessage="1" xr:uid="{CD280BCA-AB0F-45D3-A50E-3381D99FBFBC}">
          <x14:formula1>
            <xm:f>'Drop down'!$I$2:$I$5</xm:f>
          </x14:formula1>
          <xm:sqref>D11</xm:sqref>
        </x14:dataValidation>
        <x14:dataValidation type="list" allowBlank="1" showInputMessage="1" showErrorMessage="1" xr:uid="{7FC3903B-3B38-4DFB-96F5-7FB8ACB46D96}">
          <x14:formula1>
            <xm:f>'Drop down'!$C$2:$C$4</xm:f>
          </x14:formula1>
          <xm:sqref>F17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87E09-9806-4656-8737-A93FD6082595}">
  <sheetPr codeName="Sheet21"/>
  <dimension ref="A1:G32"/>
  <sheetViews>
    <sheetView topLeftCell="A4" workbookViewId="0">
      <selection activeCell="D10" sqref="D10:G10"/>
    </sheetView>
  </sheetViews>
  <sheetFormatPr defaultRowHeight="15" x14ac:dyDescent="0.25"/>
  <cols>
    <col min="1" max="1" width="22.42578125" customWidth="1"/>
    <col min="2" max="2" width="16.7109375" customWidth="1"/>
    <col min="3" max="3" width="13" customWidth="1"/>
    <col min="4" max="4" width="45.5703125" customWidth="1"/>
  </cols>
  <sheetData>
    <row r="1" spans="1:7" x14ac:dyDescent="0.25">
      <c r="A1" t="s">
        <v>75</v>
      </c>
    </row>
    <row r="3" spans="1:7" x14ac:dyDescent="0.25">
      <c r="A3" t="s">
        <v>76</v>
      </c>
    </row>
    <row r="5" spans="1:7" x14ac:dyDescent="0.25">
      <c r="A5" s="778"/>
      <c r="B5" s="778" t="s">
        <v>77</v>
      </c>
      <c r="C5" s="778" t="s">
        <v>75</v>
      </c>
      <c r="D5" s="1592"/>
      <c r="E5" s="1593"/>
      <c r="F5" s="1593"/>
      <c r="G5" s="1593"/>
    </row>
    <row r="6" spans="1:7" ht="24.75" customHeight="1" x14ac:dyDescent="0.25">
      <c r="A6" s="778" t="s">
        <v>78</v>
      </c>
      <c r="B6" s="778"/>
      <c r="C6" s="790">
        <v>7.0000000000000001E-3</v>
      </c>
      <c r="D6" s="1597"/>
      <c r="E6" s="1598"/>
      <c r="F6" s="1598"/>
      <c r="G6" s="1599"/>
    </row>
    <row r="7" spans="1:7" ht="24.75" customHeight="1" x14ac:dyDescent="0.25">
      <c r="A7" s="778" t="s">
        <v>79</v>
      </c>
      <c r="B7" s="778"/>
      <c r="C7" s="790">
        <v>7.0000000000000001E-3</v>
      </c>
      <c r="D7" s="1597"/>
      <c r="E7" s="1598"/>
      <c r="F7" s="1598"/>
      <c r="G7" s="1599"/>
    </row>
    <row r="8" spans="1:7" ht="24.75" customHeight="1" x14ac:dyDescent="0.25">
      <c r="A8" s="778" t="s">
        <v>80</v>
      </c>
      <c r="B8" s="778" t="s">
        <v>81</v>
      </c>
      <c r="C8" s="790">
        <v>0.01</v>
      </c>
      <c r="D8" s="1594"/>
      <c r="E8" s="1595"/>
      <c r="F8" s="1595"/>
      <c r="G8" s="1596"/>
    </row>
    <row r="9" spans="1:7" ht="24.75" customHeight="1" x14ac:dyDescent="0.25">
      <c r="A9" s="778" t="s">
        <v>80</v>
      </c>
      <c r="B9" s="778" t="s">
        <v>82</v>
      </c>
      <c r="C9" s="790">
        <v>1.0999999999999999E-2</v>
      </c>
      <c r="D9" s="1589"/>
      <c r="E9" s="1590"/>
      <c r="F9" s="1590"/>
      <c r="G9" s="1591"/>
    </row>
    <row r="10" spans="1:7" ht="24.75" customHeight="1" x14ac:dyDescent="0.25">
      <c r="A10" s="778" t="s">
        <v>80</v>
      </c>
      <c r="B10" s="778" t="s">
        <v>83</v>
      </c>
      <c r="C10" s="790">
        <v>7.0000000000000001E-3</v>
      </c>
      <c r="D10" s="1589"/>
      <c r="E10" s="1590"/>
      <c r="F10" s="1590"/>
      <c r="G10" s="1591"/>
    </row>
    <row r="11" spans="1:7" x14ac:dyDescent="0.25">
      <c r="A11" s="1275" t="s">
        <v>80</v>
      </c>
      <c r="B11" s="1275" t="s">
        <v>84</v>
      </c>
      <c r="C11" s="1274">
        <v>5.4999999999999997E-3</v>
      </c>
    </row>
    <row r="13" spans="1:7" x14ac:dyDescent="0.25">
      <c r="A13" s="1588" t="s">
        <v>85</v>
      </c>
      <c r="B13" s="1588"/>
      <c r="C13" s="791" t="s">
        <v>86</v>
      </c>
    </row>
    <row r="14" spans="1:7" x14ac:dyDescent="0.25">
      <c r="A14" s="792">
        <v>0</v>
      </c>
      <c r="B14" s="792">
        <v>0.6</v>
      </c>
      <c r="C14" s="793" t="s">
        <v>87</v>
      </c>
    </row>
    <row r="15" spans="1:7" x14ac:dyDescent="0.25">
      <c r="A15" s="792">
        <v>0.60000010000000004</v>
      </c>
      <c r="B15" s="792">
        <v>0.7</v>
      </c>
      <c r="C15" s="793" t="s">
        <v>88</v>
      </c>
    </row>
    <row r="16" spans="1:7" x14ac:dyDescent="0.25">
      <c r="A16" s="792">
        <v>0.70000010000000001</v>
      </c>
      <c r="B16" s="792">
        <v>0.8</v>
      </c>
      <c r="C16" s="793" t="s">
        <v>89</v>
      </c>
    </row>
    <row r="17" spans="1:5" x14ac:dyDescent="0.25">
      <c r="A17" s="792">
        <v>0.80000009999999999</v>
      </c>
      <c r="B17" s="792">
        <v>0.9</v>
      </c>
      <c r="C17" s="793" t="s">
        <v>90</v>
      </c>
    </row>
    <row r="18" spans="1:5" x14ac:dyDescent="0.25">
      <c r="A18" s="792">
        <v>0.90000009999999997</v>
      </c>
      <c r="B18" s="792">
        <v>0.95</v>
      </c>
      <c r="C18" s="793" t="s">
        <v>91</v>
      </c>
    </row>
    <row r="19" spans="1:5" x14ac:dyDescent="0.25">
      <c r="A19" s="792">
        <v>0.95000000100000004</v>
      </c>
      <c r="B19" s="792">
        <v>1</v>
      </c>
      <c r="C19" s="793" t="s">
        <v>92</v>
      </c>
    </row>
    <row r="21" spans="1:5" x14ac:dyDescent="0.25">
      <c r="A21" s="10" t="s">
        <v>93</v>
      </c>
    </row>
    <row r="23" spans="1:5" x14ac:dyDescent="0.25">
      <c r="A23" t="s">
        <v>94</v>
      </c>
      <c r="B23" s="555" t="s">
        <v>95</v>
      </c>
    </row>
    <row r="24" spans="1:5" x14ac:dyDescent="0.25">
      <c r="A24" t="s">
        <v>96</v>
      </c>
      <c r="B24" s="555">
        <v>2.5</v>
      </c>
    </row>
    <row r="25" spans="1:5" x14ac:dyDescent="0.25">
      <c r="A25" t="s">
        <v>78</v>
      </c>
      <c r="B25" s="555">
        <v>2.7</v>
      </c>
    </row>
    <row r="26" spans="1:5" x14ac:dyDescent="0.25">
      <c r="A26" t="s">
        <v>97</v>
      </c>
      <c r="B26" s="555"/>
    </row>
    <row r="27" spans="1:5" x14ac:dyDescent="0.25">
      <c r="A27" t="s">
        <v>98</v>
      </c>
      <c r="B27" s="555">
        <v>5.0000000000000001E-4</v>
      </c>
    </row>
    <row r="28" spans="1:5" x14ac:dyDescent="0.25">
      <c r="A28" t="s">
        <v>99</v>
      </c>
      <c r="B28" s="555">
        <v>0.05</v>
      </c>
      <c r="C28" t="s">
        <v>100</v>
      </c>
      <c r="E28" t="s">
        <v>101</v>
      </c>
    </row>
    <row r="29" spans="1:5" x14ac:dyDescent="0.25">
      <c r="A29" t="s">
        <v>102</v>
      </c>
      <c r="B29" s="555">
        <v>0.7</v>
      </c>
    </row>
    <row r="30" spans="1:5" x14ac:dyDescent="0.25">
      <c r="A30" t="s">
        <v>103</v>
      </c>
      <c r="B30" s="555">
        <v>0.25</v>
      </c>
    </row>
    <row r="31" spans="1:5" x14ac:dyDescent="0.25">
      <c r="A31" t="s">
        <v>104</v>
      </c>
      <c r="B31" s="555">
        <v>0.1</v>
      </c>
    </row>
    <row r="32" spans="1:5" x14ac:dyDescent="0.25">
      <c r="A32" t="s">
        <v>105</v>
      </c>
      <c r="B32" s="555">
        <v>30000</v>
      </c>
    </row>
  </sheetData>
  <sheetProtection algorithmName="SHA-512" hashValue="Nd+bpW6sIcOSQ1a708n9bzhZ8WY/oyvtu0Z6fqgBaKxr3bIXlF60r3jwjwuBGK5BLFmygySfOkCh4/Z8BNU/4A==" saltValue="QC5CJyATBGx/1YvuFbMnAw==" spinCount="100000" sheet="1" objects="1" scenarios="1"/>
  <mergeCells count="6">
    <mergeCell ref="A13:B13"/>
    <mergeCell ref="D9:G9"/>
    <mergeCell ref="D10:G10"/>
    <mergeCell ref="D5:G5"/>
    <mergeCell ref="D8:G8"/>
    <mergeCell ref="D6:G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00B0F0"/>
    <pageSetUpPr autoPageBreaks="0" fitToPage="1"/>
  </sheetPr>
  <dimension ref="C1:W360"/>
  <sheetViews>
    <sheetView showGridLines="0" showRowColHeaders="0" zoomScale="80" zoomScaleNormal="80" zoomScaleSheetLayoutView="70" workbookViewId="0">
      <selection activeCell="F6" sqref="F6:I6"/>
    </sheetView>
  </sheetViews>
  <sheetFormatPr defaultColWidth="9.140625" defaultRowHeight="14.25" x14ac:dyDescent="0.2"/>
  <cols>
    <col min="1" max="1" width="1.28515625" style="931" customWidth="1"/>
    <col min="2" max="2" width="3.42578125" style="931" customWidth="1"/>
    <col min="3" max="3" width="7.28515625" style="927" customWidth="1"/>
    <col min="4" max="4" width="66.42578125" style="929" customWidth="1"/>
    <col min="5" max="5" width="0.42578125" style="928" hidden="1" customWidth="1"/>
    <col min="6" max="6" width="28.28515625" style="927" customWidth="1"/>
    <col min="7" max="7" width="2.7109375" style="927" customWidth="1"/>
    <col min="8" max="8" width="19.140625" style="927" customWidth="1"/>
    <col min="9" max="9" width="2.85546875" style="927" customWidth="1"/>
    <col min="10" max="10" width="19.140625" style="927" customWidth="1"/>
    <col min="11" max="11" width="2.140625" style="927" customWidth="1"/>
    <col min="12" max="12" width="19.140625" style="927" customWidth="1"/>
    <col min="13" max="13" width="1.7109375" style="927" customWidth="1"/>
    <col min="14" max="14" width="26" style="927" customWidth="1"/>
    <col min="15" max="15" width="2.140625" style="927" customWidth="1"/>
    <col min="16" max="16" width="13.7109375" style="990" customWidth="1"/>
    <col min="17" max="17" width="21.140625" style="930" customWidth="1"/>
    <col min="18" max="18" width="14.7109375" style="929" customWidth="1"/>
    <col min="19" max="19" width="1.42578125" style="929" customWidth="1"/>
    <col min="20" max="20" width="9.140625" style="929" customWidth="1"/>
    <col min="21" max="21" width="9.140625" style="929"/>
    <col min="22" max="16384" width="9.140625" style="931"/>
  </cols>
  <sheetData>
    <row r="1" spans="3:21" ht="63" customHeight="1" x14ac:dyDescent="0.2">
      <c r="D1" s="932"/>
      <c r="E1" s="933"/>
      <c r="F1" s="1644" t="s">
        <v>106</v>
      </c>
      <c r="G1" s="1644"/>
      <c r="H1" s="1644"/>
      <c r="I1" s="1644"/>
      <c r="J1" s="1644"/>
      <c r="L1" s="1643" t="s">
        <v>1755</v>
      </c>
      <c r="M1" s="1643"/>
      <c r="N1" s="1643"/>
      <c r="P1" s="929"/>
      <c r="Q1" s="929"/>
    </row>
    <row r="2" spans="3:21" s="941" customFormat="1" ht="20.25" customHeight="1" x14ac:dyDescent="0.25">
      <c r="C2" s="1635" t="s">
        <v>107</v>
      </c>
      <c r="D2" s="1635"/>
      <c r="E2" s="934"/>
      <c r="F2" s="1636"/>
      <c r="G2" s="1636"/>
      <c r="H2" s="1636"/>
      <c r="I2" s="1637"/>
      <c r="J2" s="1436"/>
      <c r="K2" s="1435" t="s">
        <v>108</v>
      </c>
      <c r="L2" s="1436"/>
      <c r="M2" s="935"/>
      <c r="N2" s="1447"/>
      <c r="O2" s="935"/>
      <c r="P2" s="938"/>
      <c r="Q2" s="938"/>
      <c r="R2" s="938"/>
      <c r="S2" s="939"/>
      <c r="T2" s="939"/>
      <c r="U2" s="939"/>
    </row>
    <row r="3" spans="3:21" ht="6" customHeight="1" x14ac:dyDescent="0.2">
      <c r="C3" s="1410"/>
      <c r="D3" s="1428"/>
      <c r="E3" s="944"/>
      <c r="F3" s="1428"/>
      <c r="G3" s="1428"/>
      <c r="H3" s="1428"/>
      <c r="I3" s="1428"/>
      <c r="J3" s="1410"/>
      <c r="K3" s="1428"/>
      <c r="L3" s="1410"/>
      <c r="M3" s="942"/>
      <c r="N3" s="1448"/>
      <c r="O3" s="942"/>
      <c r="P3" s="946"/>
      <c r="Q3" s="946"/>
      <c r="R3" s="946"/>
    </row>
    <row r="4" spans="3:21" s="941" customFormat="1" ht="20.25" customHeight="1" x14ac:dyDescent="0.25">
      <c r="C4" s="1635" t="s">
        <v>109</v>
      </c>
      <c r="D4" s="1635"/>
      <c r="E4" s="934"/>
      <c r="F4" s="1636"/>
      <c r="G4" s="1636"/>
      <c r="H4" s="1636"/>
      <c r="I4" s="1637"/>
      <c r="J4" s="1436"/>
      <c r="K4" s="1435" t="s">
        <v>110</v>
      </c>
      <c r="L4" s="1436"/>
      <c r="M4" s="935"/>
      <c r="N4" s="1449"/>
      <c r="O4" s="935"/>
      <c r="P4" s="938"/>
      <c r="Q4" s="938"/>
      <c r="R4" s="938"/>
      <c r="S4" s="939"/>
      <c r="T4" s="939"/>
      <c r="U4" s="939"/>
    </row>
    <row r="5" spans="3:21" ht="6" customHeight="1" x14ac:dyDescent="0.2">
      <c r="C5" s="1428"/>
      <c r="D5" s="1428"/>
      <c r="E5" s="944"/>
      <c r="F5" s="1428"/>
      <c r="G5" s="1428"/>
      <c r="H5" s="1428"/>
      <c r="I5" s="1428"/>
      <c r="J5" s="1410"/>
      <c r="K5" s="943"/>
      <c r="L5" s="945"/>
      <c r="M5" s="942"/>
      <c r="N5" s="948"/>
      <c r="O5" s="942"/>
      <c r="P5" s="946"/>
      <c r="Q5" s="946"/>
      <c r="R5" s="946"/>
    </row>
    <row r="6" spans="3:21" s="941" customFormat="1" ht="20.25" customHeight="1" x14ac:dyDescent="0.25">
      <c r="C6" s="1635" t="s">
        <v>4</v>
      </c>
      <c r="D6" s="1635"/>
      <c r="E6" s="934"/>
      <c r="F6" s="1636"/>
      <c r="G6" s="1636"/>
      <c r="H6" s="1636"/>
      <c r="I6" s="1637"/>
      <c r="J6" s="1436"/>
      <c r="K6" s="936"/>
      <c r="L6" s="937"/>
      <c r="M6" s="935"/>
      <c r="N6" s="949"/>
      <c r="O6" s="935"/>
      <c r="P6" s="938"/>
      <c r="Q6" s="938"/>
      <c r="R6" s="938"/>
      <c r="S6" s="939"/>
      <c r="T6" s="939"/>
      <c r="U6" s="939"/>
    </row>
    <row r="7" spans="3:21" ht="6" customHeight="1" x14ac:dyDescent="0.2">
      <c r="C7" s="1428"/>
      <c r="D7" s="1428"/>
      <c r="E7" s="944"/>
      <c r="F7" s="1393"/>
      <c r="G7" s="1393"/>
      <c r="H7" s="1393"/>
      <c r="I7" s="1393"/>
      <c r="J7" s="1410"/>
      <c r="K7" s="943"/>
      <c r="L7" s="945"/>
      <c r="M7" s="942"/>
      <c r="N7" s="948"/>
      <c r="O7" s="942"/>
      <c r="P7" s="946"/>
      <c r="Q7" s="946"/>
      <c r="R7" s="946"/>
    </row>
    <row r="8" spans="3:21" s="941" customFormat="1" ht="20.25" customHeight="1" x14ac:dyDescent="0.25">
      <c r="C8" s="1638" t="s">
        <v>5</v>
      </c>
      <c r="D8" s="1638"/>
      <c r="E8" s="934"/>
      <c r="F8" s="1639"/>
      <c r="G8" s="1639"/>
      <c r="H8" s="1639"/>
      <c r="I8" s="1640"/>
      <c r="J8" s="1436"/>
      <c r="K8" s="936"/>
      <c r="L8" s="937"/>
      <c r="M8" s="935"/>
      <c r="N8" s="949"/>
      <c r="O8" s="935"/>
      <c r="P8" s="938"/>
      <c r="Q8" s="938"/>
      <c r="R8" s="938"/>
      <c r="S8" s="939"/>
      <c r="T8" s="939"/>
      <c r="U8" s="939"/>
    </row>
    <row r="9" spans="3:21" ht="6" customHeight="1" x14ac:dyDescent="0.2">
      <c r="C9" s="1428"/>
      <c r="D9" s="1428"/>
      <c r="E9" s="946"/>
      <c r="F9" s="1437"/>
      <c r="G9" s="1410"/>
      <c r="H9" s="1438"/>
      <c r="I9" s="1410"/>
      <c r="J9" s="1410"/>
      <c r="K9" s="942"/>
      <c r="L9" s="942"/>
      <c r="M9" s="942"/>
      <c r="N9" s="942"/>
      <c r="O9" s="942"/>
      <c r="P9" s="946"/>
      <c r="Q9" s="946"/>
      <c r="R9" s="946"/>
    </row>
    <row r="10" spans="3:21" ht="20.25" customHeight="1" x14ac:dyDescent="0.2">
      <c r="C10" s="1624" t="s">
        <v>9</v>
      </c>
      <c r="D10" s="1624"/>
      <c r="E10" s="946"/>
      <c r="F10" s="1439"/>
      <c r="G10" s="1410"/>
      <c r="H10" s="1428" t="str">
        <f>IF(F12="","",IFERROR(IF(AND(OR(F10='Drop down'!C3),H16&gt;60),"WARNING LOAN EXCEEDS 60% LTV",""),""))</f>
        <v/>
      </c>
      <c r="I10" s="1410"/>
      <c r="J10" s="1410"/>
      <c r="K10" s="942"/>
      <c r="L10" s="942"/>
      <c r="M10" s="942"/>
      <c r="N10" s="942"/>
      <c r="O10" s="942"/>
      <c r="P10" s="946"/>
      <c r="Q10" s="952"/>
      <c r="R10" s="946"/>
    </row>
    <row r="11" spans="3:21" ht="6" customHeight="1" x14ac:dyDescent="0.2">
      <c r="C11" s="1428"/>
      <c r="D11" s="1428"/>
      <c r="E11" s="946"/>
      <c r="F11" s="1437"/>
      <c r="G11" s="1410"/>
      <c r="H11" s="1438"/>
      <c r="I11" s="1410"/>
      <c r="J11" s="1410"/>
      <c r="K11" s="942"/>
      <c r="L11" s="942"/>
      <c r="M11" s="942"/>
      <c r="N11" s="942"/>
      <c r="O11" s="942"/>
      <c r="P11" s="946"/>
      <c r="Q11" s="946"/>
      <c r="R11" s="946"/>
    </row>
    <row r="12" spans="3:21" ht="20.25" customHeight="1" x14ac:dyDescent="0.2">
      <c r="C12" s="1631" t="s">
        <v>10</v>
      </c>
      <c r="D12" s="1631"/>
      <c r="E12" s="946"/>
      <c r="F12" s="1440"/>
      <c r="G12" s="1410"/>
      <c r="H12" s="1441"/>
      <c r="I12" s="1441"/>
      <c r="J12" s="1410"/>
      <c r="K12" s="942"/>
      <c r="L12" s="942"/>
      <c r="M12" s="942"/>
      <c r="N12" s="942"/>
      <c r="O12" s="942"/>
      <c r="P12" s="946"/>
      <c r="Q12" s="946"/>
      <c r="R12" s="946"/>
    </row>
    <row r="13" spans="3:21" ht="6" customHeight="1" x14ac:dyDescent="0.2">
      <c r="C13" s="1428"/>
      <c r="D13" s="1428"/>
      <c r="E13" s="946"/>
      <c r="F13" s="1437"/>
      <c r="G13" s="1410"/>
      <c r="H13" s="1438"/>
      <c r="I13" s="1410"/>
      <c r="J13" s="1410"/>
      <c r="K13" s="942"/>
      <c r="L13" s="942"/>
      <c r="M13" s="942"/>
      <c r="N13" s="942"/>
      <c r="O13" s="942"/>
      <c r="P13" s="946"/>
      <c r="Q13" s="946"/>
      <c r="R13" s="946"/>
    </row>
    <row r="14" spans="3:21" ht="20.25" customHeight="1" x14ac:dyDescent="0.2">
      <c r="C14" s="1631" t="s">
        <v>111</v>
      </c>
      <c r="D14" s="1631"/>
      <c r="E14" s="946"/>
      <c r="F14" s="1442">
        <v>200000</v>
      </c>
      <c r="G14" s="1410"/>
      <c r="H14" s="1641" t="s">
        <v>13</v>
      </c>
      <c r="I14" s="1641"/>
      <c r="J14" s="1642"/>
      <c r="K14" s="1628"/>
      <c r="L14" s="1629"/>
      <c r="M14" s="942"/>
      <c r="N14" s="1613"/>
      <c r="O14" s="1613"/>
      <c r="P14" s="1613"/>
      <c r="Q14" s="946"/>
      <c r="R14" s="946"/>
    </row>
    <row r="15" spans="3:21" ht="6" customHeight="1" x14ac:dyDescent="0.2">
      <c r="C15" s="1428"/>
      <c r="D15" s="1428"/>
      <c r="E15" s="946"/>
      <c r="F15" s="1437"/>
      <c r="G15" s="1410"/>
      <c r="H15" s="1438"/>
      <c r="I15" s="1410"/>
      <c r="J15" s="1410"/>
      <c r="K15" s="942"/>
      <c r="L15" s="942"/>
      <c r="M15" s="942"/>
      <c r="N15" s="942"/>
      <c r="O15" s="942"/>
      <c r="P15" s="946"/>
      <c r="Q15" s="946"/>
      <c r="R15" s="946"/>
    </row>
    <row r="16" spans="3:21" ht="20.25" customHeight="1" x14ac:dyDescent="0.2">
      <c r="C16" s="1631" t="s">
        <v>14</v>
      </c>
      <c r="D16" s="1631"/>
      <c r="E16" s="946"/>
      <c r="F16" s="1440"/>
      <c r="G16" s="1410"/>
      <c r="H16" s="1443" t="str">
        <f>IFERROR(((' VBS Criteria'!G11)/F16)*100,"")</f>
        <v/>
      </c>
      <c r="I16" s="1444" t="s">
        <v>57</v>
      </c>
      <c r="J16" s="1410"/>
      <c r="K16" s="942"/>
      <c r="L16" s="942"/>
      <c r="M16" s="942"/>
      <c r="N16" s="942"/>
      <c r="O16" s="942"/>
      <c r="P16" s="946"/>
      <c r="Q16" s="946"/>
      <c r="R16" s="946"/>
    </row>
    <row r="17" spans="3:18" ht="6" customHeight="1" x14ac:dyDescent="0.2">
      <c r="C17" s="1428"/>
      <c r="D17" s="1428"/>
      <c r="E17" s="946"/>
      <c r="F17" s="1437"/>
      <c r="G17" s="1410"/>
      <c r="H17" s="1438"/>
      <c r="I17" s="1410"/>
      <c r="J17" s="1410"/>
      <c r="K17" s="942"/>
      <c r="L17" s="942"/>
      <c r="M17" s="942"/>
      <c r="N17" s="942"/>
      <c r="O17" s="942"/>
      <c r="P17" s="946"/>
      <c r="Q17" s="946"/>
      <c r="R17" s="946"/>
    </row>
    <row r="18" spans="3:18" ht="20.25" customHeight="1" x14ac:dyDescent="0.2">
      <c r="C18" s="1631" t="s">
        <v>1765</v>
      </c>
      <c r="D18" s="1631"/>
      <c r="E18" s="946"/>
      <c r="F18" s="1445"/>
      <c r="G18" s="1410"/>
      <c r="H18" s="1428" t="str">
        <f>IF(AND(OR(F10='Drop down'!C3),F18&gt;30),"WARNING LOAN EXCEEDS MAX 30 YEAR TERM (N/A FOR RIO)","")</f>
        <v/>
      </c>
      <c r="I18" s="1410"/>
      <c r="J18" s="1410"/>
      <c r="K18" s="942"/>
      <c r="L18" s="942"/>
      <c r="M18" s="942"/>
      <c r="N18" s="942"/>
      <c r="O18" s="942"/>
      <c r="P18" s="946"/>
      <c r="Q18" s="946"/>
      <c r="R18" s="946"/>
    </row>
    <row r="19" spans="3:18" ht="6" customHeight="1" x14ac:dyDescent="0.2">
      <c r="C19" s="1428"/>
      <c r="D19" s="1428"/>
      <c r="E19" s="946"/>
      <c r="F19" s="1437"/>
      <c r="G19" s="1410"/>
      <c r="H19" s="1438"/>
      <c r="I19" s="1410"/>
      <c r="J19" s="1410"/>
      <c r="K19" s="942"/>
      <c r="L19" s="942"/>
      <c r="M19" s="942"/>
      <c r="N19" s="942"/>
      <c r="O19" s="942"/>
      <c r="P19" s="946"/>
      <c r="Q19" s="946"/>
      <c r="R19" s="946"/>
    </row>
    <row r="20" spans="3:18" ht="20.25" customHeight="1" x14ac:dyDescent="0.2">
      <c r="C20" s="1631" t="s">
        <v>112</v>
      </c>
      <c r="D20" s="1631"/>
      <c r="E20" s="953"/>
      <c r="F20" s="1446"/>
      <c r="G20" s="1410"/>
      <c r="H20" s="1410"/>
      <c r="I20" s="1410"/>
      <c r="J20" s="1410"/>
      <c r="K20" s="942"/>
      <c r="L20" s="942"/>
      <c r="M20" s="942"/>
      <c r="N20" s="942"/>
      <c r="O20" s="942"/>
      <c r="P20" s="946"/>
      <c r="Q20" s="946"/>
      <c r="R20" s="946"/>
    </row>
    <row r="21" spans="3:18" ht="6" customHeight="1" x14ac:dyDescent="0.2">
      <c r="C21" s="1428"/>
      <c r="D21" s="1428"/>
      <c r="E21" s="946"/>
      <c r="F21" s="1437"/>
      <c r="G21" s="1410"/>
      <c r="H21" s="1438"/>
      <c r="I21" s="1410"/>
      <c r="J21" s="1410"/>
      <c r="K21" s="942"/>
      <c r="L21" s="942"/>
      <c r="M21" s="942"/>
      <c r="N21" s="942"/>
      <c r="O21" s="942"/>
      <c r="P21" s="946"/>
      <c r="Q21" s="946"/>
      <c r="R21" s="946"/>
    </row>
    <row r="22" spans="3:18" ht="20.25" customHeight="1" x14ac:dyDescent="0.2">
      <c r="C22" s="1631" t="s">
        <v>113</v>
      </c>
      <c r="D22" s="1631"/>
      <c r="E22" s="946"/>
      <c r="F22" s="1446"/>
      <c r="G22" s="1410"/>
      <c r="H22" s="1428" t="str">
        <f>IF(AND(F20=1,F22="2+"),"Adults in property higher than applicants - please refer","")</f>
        <v/>
      </c>
      <c r="I22" s="1410"/>
      <c r="J22" s="1410"/>
      <c r="K22" s="942"/>
      <c r="L22" s="942"/>
      <c r="M22" s="942"/>
      <c r="N22" s="942"/>
      <c r="O22" s="942"/>
      <c r="P22" s="946"/>
      <c r="Q22" s="946"/>
      <c r="R22" s="946"/>
    </row>
    <row r="23" spans="3:18" ht="6" customHeight="1" x14ac:dyDescent="0.2">
      <c r="C23" s="1428"/>
      <c r="D23" s="1428"/>
      <c r="E23" s="946"/>
      <c r="F23" s="1437"/>
      <c r="G23" s="1410"/>
      <c r="H23" s="1438"/>
      <c r="I23" s="1410"/>
      <c r="J23" s="1410"/>
      <c r="K23" s="942"/>
      <c r="L23" s="942"/>
      <c r="M23" s="942"/>
      <c r="N23" s="942"/>
      <c r="O23" s="942"/>
      <c r="P23" s="946"/>
      <c r="Q23" s="946"/>
      <c r="R23" s="946"/>
    </row>
    <row r="24" spans="3:18" ht="19.5" customHeight="1" x14ac:dyDescent="0.2">
      <c r="C24" s="1631" t="s">
        <v>114</v>
      </c>
      <c r="D24" s="1631"/>
      <c r="E24" s="946"/>
      <c r="F24" s="1446"/>
      <c r="G24" s="1410"/>
      <c r="H24" s="1410"/>
      <c r="I24" s="1410"/>
      <c r="J24" s="1410"/>
      <c r="K24" s="942"/>
      <c r="L24" s="942"/>
      <c r="M24" s="942"/>
      <c r="N24" s="942"/>
      <c r="O24" s="942"/>
      <c r="P24" s="946"/>
      <c r="Q24" s="946"/>
      <c r="R24" s="946"/>
    </row>
    <row r="25" spans="3:18" ht="17.25" customHeight="1" x14ac:dyDescent="0.2">
      <c r="C25" s="942"/>
      <c r="D25" s="942"/>
      <c r="E25" s="953"/>
      <c r="F25" s="942"/>
      <c r="G25" s="942"/>
      <c r="H25" s="942"/>
      <c r="I25" s="942"/>
      <c r="J25" s="942"/>
      <c r="K25" s="942"/>
      <c r="L25" s="942"/>
      <c r="M25" s="942"/>
      <c r="N25" s="942"/>
      <c r="O25" s="942"/>
      <c r="P25" s="946"/>
      <c r="Q25" s="946"/>
      <c r="R25" s="946"/>
    </row>
    <row r="26" spans="3:18" ht="34.5" customHeight="1" x14ac:dyDescent="0.2">
      <c r="C26" s="942"/>
      <c r="D26" s="943"/>
      <c r="E26" s="944"/>
      <c r="F26" s="1393" t="s">
        <v>18</v>
      </c>
      <c r="G26" s="1393"/>
      <c r="H26" s="1393" t="s">
        <v>19</v>
      </c>
      <c r="I26" s="1393"/>
      <c r="J26" s="1393" t="s">
        <v>22</v>
      </c>
      <c r="K26" s="1393"/>
      <c r="L26" s="1393" t="s">
        <v>29</v>
      </c>
      <c r="M26" s="942"/>
      <c r="N26" s="950"/>
      <c r="O26" s="942"/>
      <c r="P26" s="946"/>
      <c r="Q26" s="946"/>
      <c r="R26" s="946"/>
    </row>
    <row r="27" spans="3:18" ht="18.75" customHeight="1" x14ac:dyDescent="0.2">
      <c r="C27" s="1631" t="s">
        <v>115</v>
      </c>
      <c r="D27" s="1631"/>
      <c r="E27" s="944"/>
      <c r="F27" s="1429"/>
      <c r="G27" s="1393"/>
      <c r="H27" s="1429"/>
      <c r="I27" s="1393"/>
      <c r="J27" s="1429"/>
      <c r="K27" s="1393"/>
      <c r="L27" s="1429"/>
      <c r="M27" s="942"/>
      <c r="N27" s="950"/>
      <c r="O27" s="942"/>
      <c r="P27" s="946"/>
      <c r="Q27" s="946"/>
      <c r="R27" s="946"/>
    </row>
    <row r="28" spans="3:18" ht="6" customHeight="1" x14ac:dyDescent="0.2">
      <c r="C28" s="1410"/>
      <c r="D28" s="1410"/>
      <c r="E28" s="953"/>
      <c r="F28" s="1393"/>
      <c r="G28" s="1393"/>
      <c r="H28" s="1393"/>
      <c r="I28" s="1393"/>
      <c r="J28" s="1393"/>
      <c r="K28" s="1393"/>
      <c r="L28" s="1393"/>
      <c r="M28" s="942"/>
      <c r="N28" s="947"/>
      <c r="O28" s="942"/>
      <c r="P28" s="946"/>
      <c r="Q28" s="946"/>
      <c r="R28" s="946"/>
    </row>
    <row r="29" spans="3:18" ht="18.75" customHeight="1" x14ac:dyDescent="0.2">
      <c r="C29" s="1631" t="s">
        <v>116</v>
      </c>
      <c r="D29" s="1631"/>
      <c r="E29" s="946"/>
      <c r="F29" s="1430">
        <f xml:space="preserve"> '2 - Income'!H30</f>
        <v>0</v>
      </c>
      <c r="G29" s="1431"/>
      <c r="H29" s="1432">
        <f>'2 - Income'!P30</f>
        <v>0</v>
      </c>
      <c r="I29" s="1433"/>
      <c r="J29" s="1432">
        <f>'2 - Income'!H62</f>
        <v>0</v>
      </c>
      <c r="K29" s="1433"/>
      <c r="L29" s="1432">
        <f>'2 - Income'!P62</f>
        <v>0</v>
      </c>
      <c r="M29" s="947"/>
      <c r="N29" s="942"/>
      <c r="O29" s="947"/>
      <c r="P29" s="944"/>
      <c r="Q29" s="944"/>
      <c r="R29" s="944"/>
    </row>
    <row r="30" spans="3:18" ht="6" customHeight="1" x14ac:dyDescent="0.2">
      <c r="C30" s="1410"/>
      <c r="D30" s="1410"/>
      <c r="E30" s="953"/>
      <c r="F30" s="1434"/>
      <c r="G30" s="1431"/>
      <c r="H30" s="1431"/>
      <c r="I30" s="1433"/>
      <c r="J30" s="1434"/>
      <c r="K30" s="1433"/>
      <c r="L30" s="1431"/>
      <c r="M30" s="947"/>
      <c r="N30" s="942"/>
      <c r="O30" s="947"/>
      <c r="P30" s="944"/>
      <c r="Q30" s="944"/>
      <c r="R30" s="944"/>
    </row>
    <row r="31" spans="3:18" ht="18.75" customHeight="1" x14ac:dyDescent="0.2">
      <c r="C31" s="1631" t="s">
        <v>117</v>
      </c>
      <c r="D31" s="1630"/>
      <c r="E31" s="946"/>
      <c r="F31" s="1432">
        <f>'2 - Income'!H31/12</f>
        <v>0</v>
      </c>
      <c r="G31" s="1431"/>
      <c r="H31" s="1432">
        <f>'2 - Income'!P31/12</f>
        <v>0</v>
      </c>
      <c r="I31" s="1433"/>
      <c r="J31" s="1432">
        <f>'2 - Income'!H63/12</f>
        <v>0</v>
      </c>
      <c r="K31" s="1433"/>
      <c r="L31" s="1432">
        <f>'2 - Income'!P63/12</f>
        <v>0</v>
      </c>
      <c r="M31" s="947"/>
      <c r="N31" s="942"/>
      <c r="O31" s="947"/>
      <c r="P31" s="944"/>
      <c r="Q31" s="944"/>
      <c r="R31" s="944"/>
    </row>
    <row r="32" spans="3:18" ht="23.25" customHeight="1" x14ac:dyDescent="0.2">
      <c r="C32" s="1631" t="s">
        <v>118</v>
      </c>
      <c r="D32" s="1631"/>
      <c r="E32" s="946"/>
      <c r="F32" s="1431"/>
      <c r="G32" s="1431"/>
      <c r="H32" s="1431"/>
      <c r="I32" s="1433"/>
      <c r="J32" s="1431"/>
      <c r="K32" s="1433"/>
      <c r="L32" s="1431"/>
      <c r="M32" s="947"/>
      <c r="N32" s="947"/>
      <c r="O32" s="947"/>
      <c r="P32" s="955"/>
      <c r="Q32" s="944"/>
      <c r="R32" s="944"/>
    </row>
    <row r="33" spans="3:21" ht="18.75" customHeight="1" x14ac:dyDescent="0.2">
      <c r="C33" s="1630" t="s">
        <v>119</v>
      </c>
      <c r="D33" s="1630"/>
      <c r="E33" s="946"/>
      <c r="F33" s="1432">
        <f>'3 - Debt'!M4</f>
        <v>0</v>
      </c>
      <c r="G33" s="1431"/>
      <c r="H33" s="1432">
        <f>'3 - Debt'!M5</f>
        <v>0</v>
      </c>
      <c r="I33" s="1433"/>
      <c r="J33" s="1432">
        <f>'3 - Debt'!M6</f>
        <v>0</v>
      </c>
      <c r="K33" s="1433"/>
      <c r="L33" s="1432">
        <f>'3 - Debt'!M7</f>
        <v>0</v>
      </c>
      <c r="M33" s="947"/>
      <c r="N33" s="956"/>
      <c r="O33" s="947"/>
      <c r="P33" s="955"/>
      <c r="Q33" s="957"/>
      <c r="R33" s="944"/>
    </row>
    <row r="34" spans="3:21" ht="6" customHeight="1" x14ac:dyDescent="0.2">
      <c r="C34" s="942"/>
      <c r="D34" s="942"/>
      <c r="E34" s="953"/>
      <c r="F34" s="947"/>
      <c r="G34" s="947"/>
      <c r="H34" s="947"/>
      <c r="I34" s="947"/>
      <c r="J34" s="947"/>
      <c r="K34" s="947"/>
      <c r="L34" s="947"/>
      <c r="M34" s="947"/>
      <c r="N34" s="947"/>
      <c r="O34" s="947"/>
      <c r="P34" s="944"/>
      <c r="Q34" s="944"/>
      <c r="R34" s="944"/>
    </row>
    <row r="35" spans="3:21" ht="42" customHeight="1" x14ac:dyDescent="0.2">
      <c r="C35" s="1631" t="s">
        <v>120</v>
      </c>
      <c r="D35" s="1631"/>
      <c r="E35" s="951" t="s">
        <v>121</v>
      </c>
      <c r="F35" s="1393" t="s">
        <v>122</v>
      </c>
      <c r="G35" s="954"/>
      <c r="H35" s="954"/>
      <c r="I35" s="954"/>
      <c r="J35" s="954"/>
      <c r="K35" s="954"/>
      <c r="L35" s="954"/>
      <c r="M35" s="954"/>
      <c r="N35" s="1424" t="s">
        <v>123</v>
      </c>
      <c r="O35" s="1450"/>
      <c r="P35" s="1450" t="s">
        <v>124</v>
      </c>
      <c r="Q35" s="1450" t="s">
        <v>125</v>
      </c>
      <c r="R35" s="1451" t="s">
        <v>126</v>
      </c>
    </row>
    <row r="36" spans="3:21" ht="15" customHeight="1" x14ac:dyDescent="0.2">
      <c r="C36" s="1630" t="s">
        <v>127</v>
      </c>
      <c r="D36" s="1630"/>
      <c r="E36" s="953" t="s">
        <v>128</v>
      </c>
      <c r="F36" s="1097">
        <f>'4 - Expenditure'!J4</f>
        <v>0</v>
      </c>
      <c r="G36" s="947"/>
      <c r="H36" s="947"/>
      <c r="I36" s="947"/>
      <c r="J36" s="956"/>
      <c r="K36" s="947"/>
      <c r="L36" s="947"/>
      <c r="M36" s="947"/>
      <c r="N36" s="1476" t="str">
        <f>'4 - Expenditure'!K4</f>
        <v/>
      </c>
      <c r="O36" s="978"/>
      <c r="P36" s="1098"/>
      <c r="Q36" s="1405">
        <f>F36</f>
        <v>0</v>
      </c>
      <c r="R36" s="958"/>
    </row>
    <row r="37" spans="3:21" ht="15" x14ac:dyDescent="0.2">
      <c r="C37" s="1630" t="s">
        <v>129</v>
      </c>
      <c r="D37" s="1630"/>
      <c r="E37" s="953">
        <v>4</v>
      </c>
      <c r="F37" s="1097">
        <f>'4 - Expenditure'!G5</f>
        <v>0</v>
      </c>
      <c r="G37" s="947"/>
      <c r="H37" s="947"/>
      <c r="I37" s="947"/>
      <c r="J37" s="956"/>
      <c r="K37" s="947"/>
      <c r="L37" s="947"/>
      <c r="M37" s="947"/>
      <c r="N37" s="1476" t="str">
        <f>'4 - Expenditure'!K5</f>
        <v/>
      </c>
      <c r="O37" s="978"/>
      <c r="P37" s="1098"/>
      <c r="Q37" s="1405">
        <f>F37</f>
        <v>0</v>
      </c>
      <c r="R37" s="958"/>
    </row>
    <row r="38" spans="3:21" ht="15" x14ac:dyDescent="0.2">
      <c r="C38" s="1630" t="s">
        <v>130</v>
      </c>
      <c r="D38" s="1630"/>
      <c r="E38" s="953">
        <v>4</v>
      </c>
      <c r="F38" s="1097">
        <f>'4 - Expenditure'!G6</f>
        <v>0</v>
      </c>
      <c r="G38" s="947"/>
      <c r="H38" s="947"/>
      <c r="I38" s="947"/>
      <c r="J38" s="956"/>
      <c r="K38" s="947"/>
      <c r="L38" s="947"/>
      <c r="M38" s="947"/>
      <c r="N38" s="1476" t="str">
        <f>'4 - Expenditure'!K6</f>
        <v/>
      </c>
      <c r="O38" s="978"/>
      <c r="P38" s="1098" t="str">
        <f>IFERROR(HLOOKUP(' VBS Criteria'!G19,'ONS Update'!$C$5:$J$17,5,FALSE),"")</f>
        <v/>
      </c>
      <c r="Q38" s="1513" t="str">
        <f>IFERROR(IF(R38&gt;0,R38,(IF(P38&gt;(F38),P38,F38))),"0")</f>
        <v/>
      </c>
      <c r="R38" s="1514"/>
      <c r="S38" s="929">
        <f>IF(AND(F38&lt;P38,$F$12&gt;$H$66),1,0)</f>
        <v>0</v>
      </c>
    </row>
    <row r="39" spans="3:21" ht="15" x14ac:dyDescent="0.2">
      <c r="C39" s="1630" t="s">
        <v>131</v>
      </c>
      <c r="D39" s="1630"/>
      <c r="E39" s="953" t="s">
        <v>132</v>
      </c>
      <c r="F39" s="1097">
        <f>'4 - Expenditure'!G7</f>
        <v>0</v>
      </c>
      <c r="G39" s="947"/>
      <c r="H39" s="947"/>
      <c r="I39" s="947"/>
      <c r="J39" s="956"/>
      <c r="K39" s="947"/>
      <c r="L39" s="947"/>
      <c r="M39" s="947"/>
      <c r="N39" s="1476" t="str">
        <f>'4 - Expenditure'!K7</f>
        <v/>
      </c>
      <c r="O39" s="978"/>
      <c r="P39" s="1098">
        <f>IFERROR(HLOOKUP(' VBS Criteria'!G19,'ONS Update'!$C$5:$J$17,2,FALSE) + HLOOKUP(' VBS Criteria'!G19,'ONS Update'!$C$5:$J$17,6,FALSE) + (HLOOKUP(' VBS Criteria'!G19,'ONS Update'!$C$5:$J$17,13,FALSE) * 30%) + HLOOKUP(' VBS Criteria'!G19,'ONS Update'!$C$5:$J$17,3,FALSE), 0)</f>
        <v>0</v>
      </c>
      <c r="Q39" s="1513">
        <f>IFERROR(IF(R39&gt;0,R39,(IF(P39&gt;(F39),P39,F39))),"0")</f>
        <v>0</v>
      </c>
      <c r="R39" s="1516"/>
    </row>
    <row r="40" spans="3:21" ht="15" x14ac:dyDescent="0.2">
      <c r="C40" s="1630" t="s">
        <v>1762</v>
      </c>
      <c r="D40" s="1630"/>
      <c r="E40" s="953">
        <v>7</v>
      </c>
      <c r="F40" s="1097">
        <f>'4 - Expenditure'!G8</f>
        <v>0</v>
      </c>
      <c r="G40" s="947"/>
      <c r="H40" s="947"/>
      <c r="I40" s="947"/>
      <c r="J40" s="956"/>
      <c r="K40" s="947"/>
      <c r="L40" s="947"/>
      <c r="M40" s="947"/>
      <c r="N40" s="1476" t="str">
        <f>'4 - Expenditure'!K8</f>
        <v/>
      </c>
      <c r="O40" s="978"/>
      <c r="P40" s="1098" t="str">
        <f>IFERROR(HLOOKUP(' VBS Criteria'!G19,'ONS Update'!$C$5:$J$17,8,FALSE),"")</f>
        <v/>
      </c>
      <c r="Q40" s="1513" t="str">
        <f t="shared" ref="Q40:Q42" si="0">IFERROR(IF(R40&gt;0,R40,(IF(P40&gt;(F40),P40,F40))),"0")</f>
        <v/>
      </c>
      <c r="R40" s="1515"/>
      <c r="S40" s="929">
        <f>IF(AND(F40&lt;P40,$F$12&gt;$H$66),1,0)</f>
        <v>0</v>
      </c>
    </row>
    <row r="41" spans="3:21" ht="15" x14ac:dyDescent="0.2">
      <c r="C41" s="1630" t="s">
        <v>1763</v>
      </c>
      <c r="D41" s="1630"/>
      <c r="E41" s="953">
        <v>12</v>
      </c>
      <c r="F41" s="1097">
        <f>'4 - Expenditure'!G9</f>
        <v>0</v>
      </c>
      <c r="G41" s="947"/>
      <c r="H41" s="947"/>
      <c r="I41" s="947"/>
      <c r="J41" s="956"/>
      <c r="K41" s="947"/>
      <c r="L41" s="947"/>
      <c r="M41" s="947"/>
      <c r="N41" s="1476" t="str">
        <f>'4 - Expenditure'!K9</f>
        <v/>
      </c>
      <c r="O41" s="978"/>
      <c r="P41" s="1098" t="str">
        <f>IFERROR(HLOOKUP(' VBS Criteria'!G19,'ONS Update'!$C$5:$J$17,13,FALSE)*70%,"")</f>
        <v/>
      </c>
      <c r="Q41" s="1513" t="str">
        <f t="shared" si="0"/>
        <v/>
      </c>
      <c r="R41" s="1406"/>
      <c r="S41" s="929">
        <f>IF(AND(F41&lt;P41,$F$12&gt;$H$66),1,0)</f>
        <v>0</v>
      </c>
      <c r="T41" s="959"/>
    </row>
    <row r="42" spans="3:21" ht="15" x14ac:dyDescent="0.2">
      <c r="C42" s="1630" t="s">
        <v>133</v>
      </c>
      <c r="D42" s="1630"/>
      <c r="E42" s="953" t="s">
        <v>134</v>
      </c>
      <c r="F42" s="1097">
        <f>'4 - Expenditure'!G10</f>
        <v>0</v>
      </c>
      <c r="G42" s="947"/>
      <c r="H42" s="947"/>
      <c r="I42" s="947"/>
      <c r="J42" s="956"/>
      <c r="K42" s="947"/>
      <c r="L42" s="947"/>
      <c r="M42" s="947"/>
      <c r="N42" s="1476" t="str">
        <f>'4 - Expenditure'!K10</f>
        <v/>
      </c>
      <c r="O42" s="978"/>
      <c r="P42" s="1098">
        <f>IFERROR(HLOOKUP(' VBS Criteria'!G19,'ONS Update'!$C$5:$J$17,9,FALSE),"0")+IFERROR(HLOOKUP(' VBS Criteria'!G19,'ONS Update'!$C$5:$J$17,10,FALSE),"0")</f>
        <v>0</v>
      </c>
      <c r="Q42" s="1513">
        <f t="shared" si="0"/>
        <v>0</v>
      </c>
      <c r="R42" s="1406"/>
      <c r="S42" s="929">
        <f>IF(AND(F42&lt;P42,$F$12&gt;$H$66),1,0)</f>
        <v>0</v>
      </c>
      <c r="T42" s="960"/>
    </row>
    <row r="43" spans="3:21" ht="15" x14ac:dyDescent="0.2">
      <c r="C43" s="1630" t="s">
        <v>1764</v>
      </c>
      <c r="D43" s="1630"/>
      <c r="E43" s="953"/>
      <c r="F43" s="1097">
        <f>'4 - Expenditure'!G11</f>
        <v>0</v>
      </c>
      <c r="G43" s="947"/>
      <c r="H43" s="947"/>
      <c r="I43" s="947"/>
      <c r="J43" s="956"/>
      <c r="K43" s="947"/>
      <c r="L43" s="947"/>
      <c r="M43" s="947"/>
      <c r="N43" s="1476" t="str">
        <f>'4 - Expenditure'!K11</f>
        <v/>
      </c>
      <c r="O43" s="978"/>
      <c r="P43" s="1098"/>
      <c r="Q43" s="1405">
        <f>F43</f>
        <v>0</v>
      </c>
      <c r="R43" s="944"/>
    </row>
    <row r="44" spans="3:21" ht="15" x14ac:dyDescent="0.2">
      <c r="C44" s="1630" t="s">
        <v>135</v>
      </c>
      <c r="D44" s="1630"/>
      <c r="E44" s="953">
        <v>3</v>
      </c>
      <c r="F44" s="1097">
        <f>'4 - Expenditure'!G12</f>
        <v>0</v>
      </c>
      <c r="G44" s="947"/>
      <c r="H44" s="947"/>
      <c r="I44" s="947"/>
      <c r="J44" s="956"/>
      <c r="K44" s="947"/>
      <c r="L44" s="947"/>
      <c r="M44" s="947"/>
      <c r="N44" s="1476" t="str">
        <f>'4 - Expenditure'!K12</f>
        <v/>
      </c>
      <c r="O44" s="978"/>
      <c r="P44" s="1098" t="str">
        <f>IFERROR(HLOOKUP(' VBS Criteria'!G19,'ONS Update'!$C$5:$J$17,4,FALSE),"")</f>
        <v/>
      </c>
      <c r="Q44" s="1512" t="str">
        <f>IFERROR(IF(R44&gt;0,R44,(IF(P44&gt;(F44),P44,F44))),"0")</f>
        <v/>
      </c>
      <c r="R44" s="944"/>
    </row>
    <row r="45" spans="3:21" ht="15" x14ac:dyDescent="0.2">
      <c r="C45" s="1625" t="s">
        <v>136</v>
      </c>
      <c r="D45" s="1625"/>
      <c r="E45" s="953"/>
      <c r="F45" s="1097">
        <f>'4 - Expenditure'!J24</f>
        <v>0</v>
      </c>
      <c r="G45" s="947"/>
      <c r="H45" s="947"/>
      <c r="I45" s="947"/>
      <c r="J45" s="956"/>
      <c r="K45" s="947"/>
      <c r="L45" s="947"/>
      <c r="M45" s="947"/>
      <c r="N45" s="1476" t="str">
        <f>IF(F45&gt;0,"See tab 4","")</f>
        <v/>
      </c>
      <c r="O45" s="978"/>
      <c r="P45" s="1098"/>
      <c r="Q45" s="1405">
        <f>F45</f>
        <v>0</v>
      </c>
      <c r="R45" s="944"/>
    </row>
    <row r="46" spans="3:21" ht="15" x14ac:dyDescent="0.2">
      <c r="C46" s="1632" t="s">
        <v>137</v>
      </c>
      <c r="D46" s="1632"/>
      <c r="E46" s="953"/>
      <c r="F46" s="1097">
        <f>IF(SUM(F31:L31)=0,0,MIN((' VBS Criteria'!G21*' VBS Criteria'!B4),' VBS Criteria'!J51))</f>
        <v>0</v>
      </c>
      <c r="G46" s="947"/>
      <c r="H46" s="947"/>
      <c r="I46" s="947"/>
      <c r="J46" s="961"/>
      <c r="K46" s="947"/>
      <c r="L46" s="947"/>
      <c r="M46" s="947"/>
      <c r="N46" s="1476" t="str">
        <f>IFERROR(IF(F46&gt;P46,"5% of Income","ONS"),"")</f>
        <v>ONS</v>
      </c>
      <c r="O46" s="978"/>
      <c r="P46" s="1098" t="str">
        <f>IFERROR(HLOOKUP(' VBS Criteria'!G19,'ONS Update'!$C$5:$J$17,4,FALSE)+HLOOKUP(' VBS Criteria'!G19,'ONS Update'!$C$5:$J$17,6,FALSE)+HLOOKUP(' VBS Criteria'!G19,'ONS Update'!$C$5:$J$17,12,FALSE),"")</f>
        <v/>
      </c>
      <c r="Q46" s="1405" t="str">
        <f>IFERROR(IF(R46&gt;0,R46,(IF(P46&gt;(F46),P46,F46))),"0")</f>
        <v/>
      </c>
      <c r="R46" s="944"/>
      <c r="U46" s="930"/>
    </row>
    <row r="47" spans="3:21" ht="15" x14ac:dyDescent="0.2">
      <c r="C47" s="1151"/>
      <c r="D47" s="942"/>
      <c r="E47" s="953"/>
      <c r="F47" s="962"/>
      <c r="G47" s="947"/>
      <c r="H47" s="947"/>
      <c r="I47" s="947"/>
      <c r="J47" s="956"/>
      <c r="K47" s="947"/>
      <c r="L47" s="947"/>
      <c r="M47" s="947"/>
      <c r="N47" s="947"/>
      <c r="O47" s="947"/>
      <c r="P47" s="963"/>
      <c r="Q47" s="964"/>
      <c r="R47" s="944"/>
    </row>
    <row r="48" spans="3:21" ht="33" customHeight="1" x14ac:dyDescent="0.2">
      <c r="C48" s="1151"/>
      <c r="D48" s="942"/>
      <c r="E48" s="953"/>
      <c r="F48" s="962"/>
      <c r="G48" s="947"/>
      <c r="H48" s="947"/>
      <c r="I48" s="947"/>
      <c r="J48" s="956"/>
      <c r="K48" s="947"/>
      <c r="L48" s="947"/>
      <c r="M48" s="947"/>
      <c r="N48" s="947"/>
      <c r="O48" s="947"/>
      <c r="P48" s="963"/>
      <c r="Q48" s="964"/>
      <c r="R48" s="944"/>
    </row>
    <row r="49" spans="3:21" ht="18" x14ac:dyDescent="0.25">
      <c r="C49" s="1151"/>
      <c r="D49" s="1634" t="s">
        <v>58</v>
      </c>
      <c r="E49" s="1634"/>
      <c r="F49" s="1634"/>
      <c r="G49" s="1634"/>
      <c r="H49" s="1634"/>
      <c r="I49" s="1634"/>
      <c r="J49" s="1634"/>
      <c r="K49" s="1634"/>
      <c r="L49" s="1634"/>
      <c r="M49" s="1634"/>
      <c r="N49" s="1634"/>
      <c r="O49" s="1634"/>
      <c r="P49" s="1634"/>
      <c r="Q49" s="1634"/>
      <c r="R49" s="1634"/>
    </row>
    <row r="50" spans="3:21" ht="25.5" customHeight="1" x14ac:dyDescent="0.25">
      <c r="C50" s="1151"/>
      <c r="D50" s="1088"/>
      <c r="E50" s="1088"/>
      <c r="F50" s="1088"/>
      <c r="G50" s="1088"/>
      <c r="H50" s="1088"/>
      <c r="I50" s="1088"/>
      <c r="J50" s="1088"/>
      <c r="K50" s="1088"/>
      <c r="L50" s="1088"/>
      <c r="M50" s="1088"/>
      <c r="N50" s="947"/>
      <c r="O50" s="947"/>
      <c r="P50" s="963"/>
      <c r="Q50" s="964"/>
      <c r="R50" s="944"/>
    </row>
    <row r="51" spans="3:21" ht="15.75" customHeight="1" x14ac:dyDescent="0.2">
      <c r="C51" s="1151"/>
      <c r="D51" s="1426" t="s">
        <v>138</v>
      </c>
      <c r="E51" s="1090"/>
      <c r="F51" s="1398">
        <f>' VBS Criteria'!G21</f>
        <v>0</v>
      </c>
      <c r="G51" s="947"/>
      <c r="H51" s="1633" t="s">
        <v>59</v>
      </c>
      <c r="I51" s="1633"/>
      <c r="J51" s="1633"/>
      <c r="K51" s="1633"/>
      <c r="L51" s="1645">
        <f>' VBS Criteria'!G15</f>
        <v>0</v>
      </c>
      <c r="M51" s="1645"/>
      <c r="O51" s="947"/>
      <c r="P51" s="963"/>
      <c r="Q51" s="964"/>
      <c r="R51" s="944"/>
    </row>
    <row r="52" spans="3:21" ht="15.75" customHeight="1" x14ac:dyDescent="0.2">
      <c r="C52" s="1151"/>
      <c r="D52" s="1426" t="s">
        <v>139</v>
      </c>
      <c r="E52" s="965"/>
      <c r="F52" s="1398">
        <f>IFERROR(SUM(Q36:Q46), "£0")</f>
        <v>0</v>
      </c>
      <c r="G52" s="947"/>
      <c r="H52" s="1633" t="s">
        <v>61</v>
      </c>
      <c r="I52" s="1633"/>
      <c r="J52" s="1633"/>
      <c r="K52" s="1633"/>
      <c r="L52" s="1646" t="str">
        <f>IF(' VBS Criteria'!G15="Capital &amp; Interest",' VBS Criteria'!J11,IF(' VBS Criteria'!G15="Interest Only",' VBS Criteria'!J22,IF(' VBS Criteria'!G15="Part &amp; Part",' VBS Criteria'!J38,"")))</f>
        <v/>
      </c>
      <c r="M52" s="1646"/>
      <c r="N52" s="947"/>
      <c r="O52" s="947"/>
      <c r="P52" s="963"/>
      <c r="Q52" s="964"/>
      <c r="R52" s="944"/>
    </row>
    <row r="53" spans="3:21" ht="15.75" customHeight="1" x14ac:dyDescent="0.2">
      <c r="C53" s="1151"/>
      <c r="D53" s="1426" t="s">
        <v>119</v>
      </c>
      <c r="E53" s="965"/>
      <c r="F53" s="1398">
        <f>SUM(F33,H33,J33,L33)</f>
        <v>0</v>
      </c>
      <c r="G53" s="947"/>
      <c r="H53" s="1633" t="s">
        <v>63</v>
      </c>
      <c r="I53" s="1633"/>
      <c r="J53" s="1633"/>
      <c r="K53" s="1633"/>
      <c r="L53" s="1651" t="str">
        <f>IFERROR(L52/' VBS Criteria'!G20,"")</f>
        <v/>
      </c>
      <c r="M53" s="1651"/>
      <c r="N53" s="947"/>
      <c r="O53" s="947"/>
      <c r="P53" s="963"/>
      <c r="Q53" s="964"/>
      <c r="R53" s="944"/>
    </row>
    <row r="54" spans="3:21" s="941" customFormat="1" ht="15.75" customHeight="1" x14ac:dyDescent="0.2">
      <c r="C54" s="935"/>
      <c r="D54" s="1396" t="s">
        <v>140</v>
      </c>
      <c r="E54" s="1091"/>
      <c r="F54" s="1399">
        <f>SUM(F52:F53)</f>
        <v>0</v>
      </c>
      <c r="G54" s="935"/>
      <c r="H54" s="1633" t="s">
        <v>1749</v>
      </c>
      <c r="I54" s="1633"/>
      <c r="J54" s="1633"/>
      <c r="K54" s="1633"/>
      <c r="L54" s="1646" t="str">
        <f>IF(' VBS Criteria'!G15="Capital &amp; Interest",' VBS Criteria'!J14,IF(' VBS Criteria'!G15="Interest Only",' VBS Criteria'!J25,IF(' VBS Criteria'!G15="Part &amp; Part",' VBS Criteria'!J40,"")))</f>
        <v/>
      </c>
      <c r="M54" s="1646"/>
      <c r="N54" s="935"/>
      <c r="O54" s="935"/>
      <c r="P54" s="966"/>
      <c r="Q54" s="967"/>
      <c r="R54" s="934"/>
      <c r="S54" s="939"/>
      <c r="T54" s="968"/>
      <c r="U54" s="939"/>
    </row>
    <row r="55" spans="3:21" s="941" customFormat="1" ht="15.75" customHeight="1" x14ac:dyDescent="0.2">
      <c r="C55" s="935"/>
      <c r="F55" s="1400"/>
      <c r="G55" s="935"/>
      <c r="H55" s="1633" t="s">
        <v>67</v>
      </c>
      <c r="I55" s="1633"/>
      <c r="J55" s="1633"/>
      <c r="K55" s="1633"/>
      <c r="L55" s="1647" t="str">
        <f>IF(' VBS Criteria'!G15="Capital &amp; Interest",' VBS Criteria'!J15,IF(' VBS Criteria'!G15="Interest Only","N/A",IF(' VBS Criteria'!G15="Part &amp; Part",' VBS Criteria'!J41,"")))</f>
        <v/>
      </c>
      <c r="M55" s="1647"/>
      <c r="N55" s="942"/>
      <c r="O55" s="935"/>
      <c r="P55" s="969"/>
      <c r="Q55" s="969"/>
      <c r="R55" s="970"/>
      <c r="S55" s="939"/>
      <c r="T55" s="971"/>
      <c r="U55" s="939"/>
    </row>
    <row r="56" spans="3:21" s="941" customFormat="1" ht="15.75" customHeight="1" x14ac:dyDescent="0.2">
      <c r="C56" s="935"/>
      <c r="D56" s="1427" t="s">
        <v>141</v>
      </c>
      <c r="E56" s="972"/>
      <c r="F56" s="1401">
        <f>' VBS Criteria'!G28</f>
        <v>0</v>
      </c>
      <c r="G56" s="935"/>
      <c r="H56" s="1648"/>
      <c r="I56" s="1648"/>
      <c r="J56" s="1648"/>
      <c r="K56" s="1648"/>
      <c r="L56" s="1652"/>
      <c r="M56" s="1652"/>
      <c r="N56" s="942"/>
      <c r="O56" s="935"/>
      <c r="P56" s="969"/>
      <c r="Q56" s="969"/>
      <c r="R56" s="970"/>
      <c r="S56" s="939"/>
      <c r="T56" s="971"/>
      <c r="U56" s="939"/>
    </row>
    <row r="57" spans="3:21" ht="15.75" customHeight="1" x14ac:dyDescent="0.2">
      <c r="C57" s="942"/>
      <c r="D57" s="1427" t="s">
        <v>142</v>
      </c>
      <c r="E57" s="972"/>
      <c r="F57" s="1401">
        <f>IFERROR(IF(AND(' VBS Criteria'!G22="No",' VBS Criteria'!G23="No"),' VBS Criteria'!J16,IF(' VBS Criteria'!G22="Yes",' VBS Criteria'!J26,IF(' VBS Criteria'!G23="Yes",' VBS Criteria'!J36,""))),0)</f>
        <v>0</v>
      </c>
      <c r="G57" s="942"/>
      <c r="L57" s="1095"/>
      <c r="M57" s="1095"/>
      <c r="N57" s="942"/>
      <c r="O57" s="942"/>
      <c r="P57" s="957"/>
      <c r="Q57" s="957"/>
      <c r="R57" s="946"/>
    </row>
    <row r="58" spans="3:21" ht="15.75" customHeight="1" x14ac:dyDescent="0.2">
      <c r="C58" s="942"/>
      <c r="D58" s="1397" t="s">
        <v>143</v>
      </c>
      <c r="E58" s="1092"/>
      <c r="F58" s="1402">
        <f>IFERROR(F56-F57,"£0")</f>
        <v>0</v>
      </c>
      <c r="G58" s="942"/>
      <c r="H58" s="1649" t="s">
        <v>71</v>
      </c>
      <c r="I58" s="1649"/>
      <c r="J58" s="1649"/>
      <c r="K58" s="1649"/>
      <c r="L58" s="1650" t="str">
        <f>IF(' VBS Criteria'!G15="Capital &amp; Interest",' VBS Criteria'!J19,IF(' VBS Criteria'!G15="Interest Only",' VBS Criteria'!J28,IF(' VBS Criteria'!G15="Part &amp; Part",' VBS Criteria'!J44,"")))</f>
        <v/>
      </c>
      <c r="M58" s="1650"/>
      <c r="N58" s="942"/>
      <c r="O58" s="942"/>
      <c r="P58" s="957"/>
      <c r="Q58" s="957"/>
      <c r="R58" s="946"/>
    </row>
    <row r="59" spans="3:21" ht="12" customHeight="1" x14ac:dyDescent="0.2">
      <c r="C59" s="942"/>
      <c r="F59" s="1403"/>
      <c r="G59" s="942"/>
      <c r="H59" s="1616"/>
      <c r="I59" s="1616"/>
      <c r="J59" s="1616"/>
      <c r="K59" s="1616"/>
      <c r="L59" s="1617"/>
      <c r="M59" s="1617"/>
      <c r="N59" s="942"/>
      <c r="O59" s="942"/>
      <c r="P59" s="957"/>
      <c r="Q59" s="957"/>
      <c r="R59" s="946"/>
    </row>
    <row r="60" spans="3:21" ht="15.75" customHeight="1" x14ac:dyDescent="0.2">
      <c r="C60" s="942"/>
      <c r="D60" s="1089" t="s">
        <v>144</v>
      </c>
      <c r="E60" s="965"/>
      <c r="F60" s="1404">
        <f>IFERROR(IF(AND(' VBS Criteria'!G22="No",' VBS Criteria'!G23="No"),' VBS Criteria'!J47,IF(' VBS Criteria'!G22="Yes",' VBS Criteria'!J48,IF(' VBS Criteria'!G23="Yes",' VBS Criteria'!J49,""))),0)</f>
        <v>0</v>
      </c>
      <c r="G60" s="942"/>
      <c r="H60" s="1618" t="s">
        <v>145</v>
      </c>
      <c r="I60" s="1618"/>
      <c r="J60" s="1618"/>
      <c r="K60" s="1618"/>
      <c r="L60" s="1619" t="str">
        <f>IFERROR(IF(L58&lt;J66,L58,J66)/L52,"")</f>
        <v/>
      </c>
      <c r="M60" s="1620"/>
      <c r="N60" s="1386"/>
      <c r="O60" s="1386"/>
      <c r="P60" s="1387"/>
      <c r="Q60" s="1387"/>
      <c r="R60" s="1386"/>
      <c r="S60" s="1154"/>
      <c r="T60" s="930"/>
    </row>
    <row r="61" spans="3:21" ht="15.75" customHeight="1" x14ac:dyDescent="0.2">
      <c r="C61" s="942"/>
      <c r="D61" s="1397" t="s">
        <v>146</v>
      </c>
      <c r="E61" s="1092"/>
      <c r="F61" s="1402">
        <f>IFERROR(F56-F60,"£0")</f>
        <v>0</v>
      </c>
      <c r="G61" s="942"/>
      <c r="H61" s="1612"/>
      <c r="I61" s="1612"/>
      <c r="J61" s="1612"/>
      <c r="K61" s="1612"/>
      <c r="L61" s="1611"/>
      <c r="M61" s="1611"/>
      <c r="N61" s="1386"/>
      <c r="O61" s="1386"/>
      <c r="P61" s="1387"/>
      <c r="Q61" s="1387"/>
      <c r="R61" s="1386"/>
      <c r="S61" s="1154"/>
      <c r="T61" s="1154"/>
    </row>
    <row r="62" spans="3:21" ht="15.75" customHeight="1" x14ac:dyDescent="0.2">
      <c r="C62" s="942"/>
      <c r="D62" s="1397" t="s">
        <v>147</v>
      </c>
      <c r="E62" s="1092"/>
      <c r="F62" s="1096" t="str">
        <f>IF(F27="","",IFERROR(' VBS Criteria'!G63,""))</f>
        <v/>
      </c>
      <c r="G62" s="942"/>
      <c r="H62" s="1152"/>
      <c r="I62" s="1152"/>
      <c r="J62" s="1152"/>
      <c r="K62" s="1152"/>
      <c r="L62" s="1153"/>
      <c r="M62" s="1153"/>
      <c r="N62" s="942"/>
      <c r="O62" s="942"/>
      <c r="P62" s="957"/>
      <c r="Q62" s="957"/>
      <c r="R62" s="946"/>
    </row>
    <row r="63" spans="3:21" ht="24.75" customHeight="1" x14ac:dyDescent="0.2">
      <c r="C63" s="942"/>
      <c r="D63" s="1094"/>
      <c r="E63" s="1093"/>
      <c r="F63" s="954"/>
      <c r="G63" s="942"/>
      <c r="H63" s="942"/>
      <c r="I63" s="942"/>
      <c r="J63" s="942"/>
      <c r="K63" s="942"/>
      <c r="L63" s="942"/>
      <c r="M63" s="942"/>
      <c r="N63" s="942"/>
      <c r="O63" s="942"/>
      <c r="P63" s="957"/>
      <c r="Q63" s="957"/>
      <c r="R63" s="946"/>
    </row>
    <row r="64" spans="3:21" ht="30.75" customHeight="1" x14ac:dyDescent="0.2">
      <c r="C64" s="1615" t="s">
        <v>1760</v>
      </c>
      <c r="D64" s="1615"/>
      <c r="E64" s="1615"/>
      <c r="F64" s="1615"/>
      <c r="G64" s="1615"/>
      <c r="H64" s="1615"/>
      <c r="I64" s="1615"/>
      <c r="J64" s="1615"/>
      <c r="K64" s="1615"/>
      <c r="L64" s="1615"/>
      <c r="M64" s="1615"/>
      <c r="N64" s="1615"/>
      <c r="O64" s="1615"/>
      <c r="P64" s="1615"/>
      <c r="Q64" s="1615"/>
      <c r="R64" s="1615"/>
    </row>
    <row r="65" spans="3:23" ht="33" customHeight="1" x14ac:dyDescent="0.2">
      <c r="C65" s="942"/>
      <c r="D65" s="942"/>
      <c r="E65" s="953"/>
      <c r="F65" s="1151"/>
      <c r="G65" s="942"/>
      <c r="H65" s="1424" t="s">
        <v>148</v>
      </c>
      <c r="I65" s="1424"/>
      <c r="J65" s="1424" t="s">
        <v>149</v>
      </c>
      <c r="K65" s="1425"/>
      <c r="L65" s="1424" t="s">
        <v>150</v>
      </c>
      <c r="M65" s="942"/>
      <c r="N65" s="942"/>
      <c r="O65" s="942"/>
      <c r="P65" s="946"/>
      <c r="Q65" s="1388"/>
      <c r="R65" s="946"/>
    </row>
    <row r="66" spans="3:23" ht="30" customHeight="1" x14ac:dyDescent="0.2">
      <c r="C66" s="1622" t="s">
        <v>151</v>
      </c>
      <c r="D66" s="1622"/>
      <c r="E66" s="1622"/>
      <c r="F66" s="1622"/>
      <c r="G66" s="942"/>
      <c r="H66" s="1417">
        <f>' VBS Criteria'!J19</f>
        <v>0</v>
      </c>
      <c r="I66" s="1418"/>
      <c r="J66" s="1417">
        <f>' VBS Criteria'!G11</f>
        <v>0</v>
      </c>
      <c r="K66" s="1419"/>
      <c r="L66" s="1420" t="str">
        <f>IF(J66=0,"",IFERROR(IF(J66&gt;=H66*1.3,"Fail",IF(J66&gt;=H66*1.1,"Max Loan Only - refer to Intermediary Team",IF(J66&gt;=H66*0.95,"Refer to Intermediary Team","Pass"))),""))</f>
        <v/>
      </c>
      <c r="M66" s="942"/>
      <c r="N66" s="942"/>
      <c r="O66" s="942"/>
      <c r="P66" s="946"/>
      <c r="Q66" s="946"/>
      <c r="R66" s="946"/>
      <c r="V66" s="927"/>
      <c r="W66" s="927"/>
    </row>
    <row r="67" spans="3:23" ht="4.5" customHeight="1" x14ac:dyDescent="0.2">
      <c r="C67" s="936"/>
      <c r="D67" s="935"/>
      <c r="E67" s="1079"/>
      <c r="F67" s="1079"/>
      <c r="G67" s="942"/>
      <c r="H67" s="1418"/>
      <c r="I67" s="1418"/>
      <c r="J67" s="1418"/>
      <c r="K67" s="1419"/>
      <c r="L67" s="1421"/>
      <c r="M67" s="942"/>
      <c r="N67" s="942"/>
      <c r="O67" s="942"/>
      <c r="P67" s="946"/>
      <c r="Q67" s="946"/>
      <c r="R67" s="946"/>
      <c r="V67" s="927"/>
      <c r="W67" s="927"/>
    </row>
    <row r="68" spans="3:23" ht="30" customHeight="1" x14ac:dyDescent="0.2">
      <c r="C68" s="1622" t="s">
        <v>152</v>
      </c>
      <c r="D68" s="1622"/>
      <c r="E68" s="1622"/>
      <c r="F68" s="1622"/>
      <c r="G68" s="942"/>
      <c r="H68" s="1417">
        <f>' VBS Criteria'!J28</f>
        <v>0</v>
      </c>
      <c r="I68" s="1418"/>
      <c r="J68" s="1417">
        <f>' VBS Criteria'!G11</f>
        <v>0</v>
      </c>
      <c r="K68" s="1419"/>
      <c r="L68" s="1420" t="str">
        <f>IF(J68=0,"",IFERROR(IF(J68&gt;=H68*1.3,"Fail",IF(J68&gt;=H68*1.1,"Max Loan Only - refer to Intermediary Team",IF(J68&gt;=H68*0.95,"Refer to Intermediary Team","Pass"))),""))</f>
        <v/>
      </c>
      <c r="M68" s="974"/>
      <c r="N68" s="942"/>
      <c r="O68" s="942"/>
      <c r="P68" s="975"/>
      <c r="Q68" s="946"/>
      <c r="R68" s="946"/>
      <c r="V68" s="927"/>
      <c r="W68" s="927"/>
    </row>
    <row r="69" spans="3:23" ht="5.25" customHeight="1" x14ac:dyDescent="0.2">
      <c r="C69" s="1623"/>
      <c r="D69" s="1623"/>
      <c r="E69" s="1623"/>
      <c r="F69" s="1623"/>
      <c r="G69" s="942"/>
      <c r="H69" s="1422"/>
      <c r="I69" s="1418"/>
      <c r="J69" s="1422"/>
      <c r="K69" s="1419"/>
      <c r="L69" s="1423"/>
      <c r="M69" s="974"/>
      <c r="N69" s="942"/>
      <c r="O69" s="942"/>
      <c r="P69" s="975"/>
      <c r="Q69" s="946"/>
      <c r="R69" s="946"/>
      <c r="V69" s="927"/>
      <c r="W69" s="927"/>
    </row>
    <row r="70" spans="3:23" ht="30" customHeight="1" x14ac:dyDescent="0.2">
      <c r="C70" s="1622" t="s">
        <v>153</v>
      </c>
      <c r="D70" s="1622"/>
      <c r="E70" s="1622"/>
      <c r="F70" s="1622"/>
      <c r="G70" s="942"/>
      <c r="H70" s="1417">
        <f>' VBS Criteria'!J44</f>
        <v>0</v>
      </c>
      <c r="I70" s="1418"/>
      <c r="J70" s="1417">
        <f>' VBS Criteria'!G11</f>
        <v>0</v>
      </c>
      <c r="K70" s="1419"/>
      <c r="L70" s="1420" t="str">
        <f>IF(J70=0,"",IFERROR(IF(J70&gt;=H70*1.3,"Fail",IF(J70&gt;=H70*1.1,"Max Loan Only - refer to Intermediary Team",IF(J70&gt;=H70*0.95,"Refer to Intermediary Team","Pass"))),""))</f>
        <v/>
      </c>
      <c r="M70" s="974"/>
      <c r="N70" s="942"/>
      <c r="O70" s="942"/>
      <c r="P70" s="975"/>
      <c r="Q70" s="946"/>
      <c r="R70" s="946"/>
      <c r="V70" s="927"/>
      <c r="W70" s="927"/>
    </row>
    <row r="71" spans="3:23" ht="6.75" customHeight="1" x14ac:dyDescent="0.2">
      <c r="C71" s="942"/>
      <c r="D71" s="943"/>
      <c r="E71" s="951"/>
      <c r="F71" s="976"/>
      <c r="G71" s="974"/>
      <c r="H71" s="974"/>
      <c r="I71" s="974"/>
      <c r="J71" s="977"/>
      <c r="K71" s="974"/>
      <c r="L71" s="942"/>
      <c r="M71" s="942"/>
      <c r="N71" s="942"/>
      <c r="O71" s="942"/>
      <c r="P71" s="944"/>
      <c r="Q71" s="946"/>
      <c r="R71" s="946"/>
    </row>
    <row r="72" spans="3:23" ht="4.5" customHeight="1" x14ac:dyDescent="0.2">
      <c r="C72" s="942"/>
      <c r="D72" s="942"/>
      <c r="E72" s="953"/>
      <c r="F72" s="1099"/>
      <c r="G72" s="942"/>
      <c r="H72" s="942"/>
      <c r="I72" s="942"/>
      <c r="J72" s="942"/>
      <c r="K72" s="942"/>
      <c r="L72" s="942"/>
      <c r="M72" s="942"/>
      <c r="N72" s="942"/>
      <c r="O72" s="942"/>
      <c r="P72" s="986"/>
      <c r="Q72" s="946"/>
      <c r="R72" s="946"/>
    </row>
    <row r="73" spans="3:23" ht="12.75" customHeight="1" x14ac:dyDescent="0.2">
      <c r="C73" s="942"/>
      <c r="D73" s="1100"/>
      <c r="E73" s="947"/>
      <c r="F73" s="1389" t="s">
        <v>1752</v>
      </c>
      <c r="G73" s="945"/>
      <c r="H73" s="1390" t="str">
        <f>IF(AND(F12&lt;=375000),"1",IF(AND(F12&lt;=550000),"2",IF(AND(F12&lt;=1000000),"3",)))</f>
        <v>1</v>
      </c>
      <c r="I73" s="978"/>
      <c r="J73" s="978"/>
      <c r="K73" s="978"/>
      <c r="L73" s="978"/>
      <c r="M73" s="942"/>
      <c r="N73" s="942"/>
      <c r="O73" s="942"/>
      <c r="P73" s="986"/>
      <c r="Q73" s="946"/>
      <c r="R73" s="946"/>
    </row>
    <row r="74" spans="3:23" ht="23.25" customHeight="1" thickBot="1" x14ac:dyDescent="0.25">
      <c r="C74" s="942"/>
      <c r="D74" s="1621" t="s">
        <v>1761</v>
      </c>
      <c r="E74" s="1621"/>
      <c r="F74" s="1621"/>
      <c r="G74" s="978"/>
      <c r="H74" s="1412" t="e">
        <f>IF(F10="Part &amp; Part",SUM((F14+K14)/(F29+H29+J29+L29)),SUM(F12/(F29+H29+J29+L29)))</f>
        <v>#DIV/0!</v>
      </c>
      <c r="I74" s="1104"/>
      <c r="J74" s="979" t="str">
        <f>IFERROR(IF(OR(AND(F22=1,H74&gt;5),AND(F22&gt;1,H74&gt;4.75)),"High income multiple",""),"")</f>
        <v/>
      </c>
      <c r="K74" s="978"/>
      <c r="L74" s="978"/>
      <c r="M74" s="942"/>
      <c r="N74" s="1394" t="str">
        <f>CONCATENATE("Stress Rate Used - ",' VBS Criteria'!B43)</f>
        <v>Stress Rate Used - 1.75</v>
      </c>
      <c r="O74" s="1395" t="s">
        <v>57</v>
      </c>
      <c r="P74" s="942"/>
      <c r="Q74" s="942"/>
      <c r="R74" s="946"/>
    </row>
    <row r="75" spans="3:23" ht="20.25" customHeight="1" thickBot="1" x14ac:dyDescent="0.25">
      <c r="C75" s="942"/>
      <c r="D75" s="980"/>
      <c r="E75" s="973"/>
      <c r="F75" s="1391" t="s">
        <v>1751</v>
      </c>
      <c r="G75" s="945"/>
      <c r="H75" s="1392" t="e">
        <f>IF(AND(F20=1,H74&lt;=5),"1",IF(AND(F20=2,H74&lt;=4.75),"1",IF(AND(F20=1,H74&lt;=5.5),"2",IF(AND(F20=2,H74&lt;=5),"2",IF(AND(F20=1,H74&gt;5.5),"3",IF(AND(F20=2,H74&gt;5),"3",""))))))</f>
        <v>#DIV/0!</v>
      </c>
      <c r="I75" s="978"/>
      <c r="K75" s="978"/>
      <c r="L75" s="1407" t="s">
        <v>1753</v>
      </c>
      <c r="M75" s="1408"/>
      <c r="N75" s="1409" t="str">
        <f>IFERROR(TEXT(MAX(VALUE(H73), VALUE(H75)),"0"),"1")</f>
        <v>1</v>
      </c>
      <c r="O75" s="942"/>
      <c r="P75" s="944"/>
      <c r="Q75" s="946"/>
      <c r="R75" s="946"/>
    </row>
    <row r="76" spans="3:23" ht="15" x14ac:dyDescent="0.2">
      <c r="C76" s="942"/>
      <c r="D76" s="1624" t="s">
        <v>12</v>
      </c>
      <c r="E76" s="1624"/>
      <c r="F76" s="1624"/>
      <c r="G76" s="978"/>
      <c r="H76" s="981"/>
      <c r="I76" s="978"/>
      <c r="J76" s="947"/>
      <c r="K76" s="978"/>
      <c r="L76" s="978"/>
      <c r="M76" s="942"/>
      <c r="N76" s="942"/>
      <c r="O76" s="942"/>
      <c r="P76" s="944"/>
      <c r="Q76" s="946"/>
      <c r="R76" s="946"/>
    </row>
    <row r="77" spans="3:23" ht="15" x14ac:dyDescent="0.2">
      <c r="C77" s="942"/>
      <c r="D77" s="1625" t="s">
        <v>154</v>
      </c>
      <c r="E77" s="1625"/>
      <c r="F77" s="1625"/>
      <c r="G77" s="978"/>
      <c r="H77" s="1413" t="str">
        <f>IFERROR(ROUNDUP(' VBS Criteria'!G11/' VBS Criteria'!J11*100,1),"")</f>
        <v/>
      </c>
      <c r="I77" s="1413" t="s">
        <v>57</v>
      </c>
      <c r="J77" s="1414"/>
      <c r="K77" s="978"/>
      <c r="L77" s="978"/>
      <c r="M77" s="942"/>
      <c r="N77" s="942"/>
      <c r="O77" s="942"/>
      <c r="P77" s="946"/>
      <c r="Q77" s="946"/>
      <c r="R77" s="946"/>
    </row>
    <row r="78" spans="3:23" ht="15" x14ac:dyDescent="0.2">
      <c r="C78" s="942"/>
      <c r="D78" s="1410" t="s">
        <v>155</v>
      </c>
      <c r="E78" s="1410"/>
      <c r="F78" s="1411"/>
      <c r="G78" s="978"/>
      <c r="H78" s="1415" t="str">
        <f>IFERROR(' VBS Criteria'!G28-' VBS Criteria'!J16,"")</f>
        <v/>
      </c>
      <c r="I78" s="1415"/>
      <c r="J78" s="1416" t="str">
        <f>IFERROR((' VBS Criteria'!$G$28-' VBS Criteria'!$J$16)/' VBS Criteria'!$G$21,"")</f>
        <v/>
      </c>
      <c r="K78" s="978"/>
      <c r="L78" s="978"/>
      <c r="M78" s="942"/>
      <c r="N78" s="942"/>
      <c r="O78" s="942"/>
      <c r="P78" s="946"/>
      <c r="Q78" s="946"/>
      <c r="R78" s="946"/>
    </row>
    <row r="79" spans="3:23" ht="7.5" customHeight="1" x14ac:dyDescent="0.2">
      <c r="C79" s="942"/>
      <c r="D79" s="978"/>
      <c r="E79" s="978"/>
      <c r="F79" s="982"/>
      <c r="G79" s="978"/>
      <c r="H79" s="983"/>
      <c r="I79" s="983"/>
      <c r="J79" s="984"/>
      <c r="K79" s="978"/>
      <c r="L79" s="978"/>
      <c r="M79" s="942"/>
      <c r="N79" s="942"/>
      <c r="O79" s="942"/>
      <c r="P79" s="946"/>
      <c r="Q79" s="946"/>
      <c r="R79" s="946"/>
    </row>
    <row r="80" spans="3:23" ht="15" x14ac:dyDescent="0.2">
      <c r="C80" s="942"/>
      <c r="D80" s="947" t="s">
        <v>156</v>
      </c>
      <c r="E80" s="978"/>
      <c r="F80" s="982"/>
      <c r="G80" s="978"/>
      <c r="H80" s="983"/>
      <c r="I80" s="983"/>
      <c r="J80" s="984"/>
      <c r="K80" s="984"/>
      <c r="L80" s="984"/>
      <c r="M80" s="942"/>
      <c r="N80" s="942"/>
      <c r="O80" s="942"/>
      <c r="P80" s="946"/>
      <c r="Q80" s="946"/>
      <c r="R80" s="946"/>
    </row>
    <row r="81" spans="3:21" ht="15" x14ac:dyDescent="0.2">
      <c r="C81" s="942"/>
      <c r="D81" s="978" t="s">
        <v>157</v>
      </c>
      <c r="E81" s="978"/>
      <c r="F81" s="982"/>
      <c r="G81" s="978"/>
      <c r="H81" s="1105" t="str">
        <f>IFERROR(ROUNDUP(' VBS Criteria'!G11/(' VBS Criteria'!J22)*100,1),"")</f>
        <v/>
      </c>
      <c r="I81" s="1101" t="s">
        <v>57</v>
      </c>
      <c r="J81" s="985"/>
      <c r="K81" s="978"/>
      <c r="L81" s="978"/>
      <c r="M81" s="942"/>
      <c r="N81" s="942"/>
      <c r="O81" s="942"/>
      <c r="P81" s="986"/>
      <c r="Q81" s="946"/>
      <c r="R81" s="946"/>
    </row>
    <row r="82" spans="3:21" ht="15" x14ac:dyDescent="0.2">
      <c r="C82" s="942"/>
      <c r="D82" s="978" t="s">
        <v>158</v>
      </c>
      <c r="E82" s="978"/>
      <c r="F82" s="982"/>
      <c r="G82" s="978"/>
      <c r="H82" s="1103">
        <f>' VBS Criteria'!G28-' VBS Criteria'!J26</f>
        <v>0</v>
      </c>
      <c r="I82" s="1101"/>
      <c r="J82" s="1102" t="str">
        <f>IFERROR((' VBS Criteria'!$G$28-' VBS Criteria'!$J$26)/' VBS Criteria'!$G$21,"")</f>
        <v/>
      </c>
      <c r="K82" s="978"/>
      <c r="L82" s="978"/>
      <c r="M82" s="942"/>
      <c r="N82" s="942"/>
      <c r="O82" s="942"/>
      <c r="P82" s="986"/>
      <c r="Q82" s="946"/>
      <c r="R82" s="946"/>
    </row>
    <row r="83" spans="3:21" ht="7.5" customHeight="1" x14ac:dyDescent="0.2">
      <c r="C83" s="942"/>
      <c r="D83" s="978"/>
      <c r="E83" s="978"/>
      <c r="F83" s="982"/>
      <c r="G83" s="978"/>
      <c r="H83" s="983"/>
      <c r="I83" s="983"/>
      <c r="J83" s="984"/>
      <c r="K83" s="978"/>
      <c r="L83" s="978"/>
      <c r="M83" s="942"/>
      <c r="N83" s="942"/>
      <c r="O83" s="942"/>
      <c r="P83" s="946"/>
      <c r="Q83" s="946"/>
      <c r="R83" s="946"/>
    </row>
    <row r="84" spans="3:21" ht="15" x14ac:dyDescent="0.2">
      <c r="C84" s="942"/>
      <c r="D84" s="947" t="s">
        <v>11</v>
      </c>
      <c r="E84" s="978"/>
      <c r="F84" s="982"/>
      <c r="G84" s="978"/>
      <c r="H84" s="983"/>
      <c r="I84" s="983"/>
      <c r="J84" s="984"/>
      <c r="K84" s="984"/>
      <c r="L84" s="984"/>
      <c r="M84" s="942"/>
      <c r="N84" s="942"/>
      <c r="O84" s="942"/>
      <c r="P84" s="946"/>
      <c r="Q84" s="946"/>
      <c r="R84" s="946"/>
    </row>
    <row r="85" spans="3:21" ht="15" x14ac:dyDescent="0.2">
      <c r="C85" s="942"/>
      <c r="D85" s="978" t="s">
        <v>157</v>
      </c>
      <c r="E85" s="978"/>
      <c r="F85" s="982"/>
      <c r="G85" s="978"/>
      <c r="H85" s="1105" t="str">
        <f>IFERROR(ROUNDUP(' VBS Criteria'!G11/(' VBS Criteria'!J24)*100,1),"")</f>
        <v/>
      </c>
      <c r="I85" s="1101" t="s">
        <v>57</v>
      </c>
      <c r="J85" s="985"/>
      <c r="K85" s="978"/>
      <c r="L85" s="978"/>
      <c r="M85" s="942"/>
      <c r="N85" s="942"/>
      <c r="O85" s="942"/>
      <c r="P85" s="986"/>
      <c r="Q85" s="946"/>
      <c r="R85" s="946"/>
    </row>
    <row r="86" spans="3:21" ht="15" x14ac:dyDescent="0.2">
      <c r="C86" s="942"/>
      <c r="D86" s="978" t="s">
        <v>158</v>
      </c>
      <c r="E86" s="978"/>
      <c r="F86" s="982"/>
      <c r="G86" s="978"/>
      <c r="H86" s="1103" t="e">
        <f>' VBS Criteria'!G28-' VBS Criteria'!J36</f>
        <v>#NUM!</v>
      </c>
      <c r="I86" s="1101"/>
      <c r="J86" s="1102" t="str">
        <f>IFERROR((' VBS Criteria'!$G$28-' VBS Criteria'!J36)/' VBS Criteria'!$G$21,"")</f>
        <v/>
      </c>
      <c r="K86" s="978"/>
      <c r="L86" s="978"/>
      <c r="M86" s="942"/>
      <c r="N86" s="942"/>
      <c r="O86" s="942"/>
      <c r="P86" s="986"/>
      <c r="Q86" s="946"/>
      <c r="R86" s="946"/>
    </row>
    <row r="87" spans="3:21" ht="29.25" customHeight="1" x14ac:dyDescent="0.2">
      <c r="C87" s="945"/>
      <c r="D87" s="945"/>
      <c r="E87" s="945"/>
      <c r="F87" s="1099"/>
      <c r="G87" s="945"/>
      <c r="H87" s="1497"/>
      <c r="I87" s="1497"/>
      <c r="J87" s="1498"/>
      <c r="K87" s="945"/>
      <c r="L87" s="945"/>
      <c r="M87" s="945"/>
      <c r="N87" s="945"/>
      <c r="O87" s="945"/>
      <c r="P87" s="1099"/>
      <c r="Q87" s="945"/>
      <c r="R87" s="945"/>
    </row>
    <row r="88" spans="3:21" s="987" customFormat="1" ht="25.5" customHeight="1" x14ac:dyDescent="0.25">
      <c r="C88" s="1626" t="s">
        <v>159</v>
      </c>
      <c r="D88" s="1626"/>
      <c r="E88" s="1499"/>
      <c r="F88" s="1627" t="str">
        <f>IFERROR(' VBS Criteria'!G42,"")</f>
        <v/>
      </c>
      <c r="G88" s="1627"/>
      <c r="H88" s="1614" t="s">
        <v>160</v>
      </c>
      <c r="I88" s="1614"/>
      <c r="J88" s="1614"/>
      <c r="K88" s="1614"/>
      <c r="L88" s="1614"/>
      <c r="M88" s="1614"/>
      <c r="N88" s="1614"/>
      <c r="O88" s="1614"/>
      <c r="P88" s="1614"/>
      <c r="Q88" s="1614"/>
      <c r="R88" s="1614"/>
      <c r="S88" s="988"/>
      <c r="T88" s="988"/>
      <c r="U88" s="988"/>
    </row>
    <row r="89" spans="3:21" s="927" customFormat="1" ht="6" customHeight="1" x14ac:dyDescent="0.2">
      <c r="C89" s="1500"/>
      <c r="D89" s="1500"/>
      <c r="E89" s="1500"/>
      <c r="F89" s="1500"/>
      <c r="G89" s="1500"/>
      <c r="H89" s="1500"/>
      <c r="I89" s="1500"/>
      <c r="J89" s="1500"/>
      <c r="K89" s="1500"/>
      <c r="L89" s="1501"/>
      <c r="M89" s="1501"/>
      <c r="N89" s="1501"/>
      <c r="O89" s="1501"/>
      <c r="P89" s="1502"/>
      <c r="Q89" s="1503"/>
      <c r="R89" s="1501"/>
      <c r="S89" s="929"/>
      <c r="T89" s="929"/>
      <c r="U89" s="929"/>
    </row>
    <row r="90" spans="3:21" s="927" customFormat="1" ht="6" customHeight="1" x14ac:dyDescent="0.2">
      <c r="C90" s="1500"/>
      <c r="D90" s="1500"/>
      <c r="E90" s="1500"/>
      <c r="F90" s="1500"/>
      <c r="G90" s="1500"/>
      <c r="H90" s="1500"/>
      <c r="I90" s="1500"/>
      <c r="J90" s="1500"/>
      <c r="K90" s="1500"/>
      <c r="L90" s="1501"/>
      <c r="M90" s="1501"/>
      <c r="N90" s="1501"/>
      <c r="O90" s="1501"/>
      <c r="P90" s="1502"/>
      <c r="Q90" s="1503"/>
      <c r="R90" s="1501"/>
      <c r="S90" s="929"/>
      <c r="T90" s="929"/>
      <c r="U90" s="929"/>
    </row>
    <row r="91" spans="3:21" ht="12.75" customHeight="1" x14ac:dyDescent="0.2">
      <c r="C91" s="1504"/>
      <c r="D91" s="1505"/>
      <c r="E91" s="1505"/>
      <c r="F91" s="1505"/>
      <c r="G91" s="1505"/>
      <c r="H91" s="1505"/>
      <c r="I91" s="1505"/>
      <c r="J91" s="1505"/>
      <c r="K91" s="1505"/>
      <c r="L91" s="1505"/>
      <c r="M91" s="1505"/>
      <c r="N91" s="1505"/>
      <c r="O91" s="1505"/>
      <c r="P91" s="1505"/>
      <c r="Q91" s="1505"/>
      <c r="R91" s="1505"/>
    </row>
    <row r="92" spans="3:21" ht="15" customHeight="1" x14ac:dyDescent="0.2">
      <c r="C92" s="1500"/>
      <c r="D92" s="1500"/>
      <c r="E92" s="1500"/>
      <c r="F92" s="1500"/>
      <c r="G92" s="1500"/>
      <c r="H92" s="1500"/>
      <c r="I92" s="1500"/>
      <c r="J92" s="1500"/>
      <c r="K92" s="1500"/>
      <c r="L92" s="1500"/>
      <c r="M92" s="1500"/>
      <c r="N92" s="1500"/>
      <c r="O92" s="1500"/>
      <c r="P92" s="1500"/>
      <c r="Q92" s="1500"/>
      <c r="R92" s="1500"/>
    </row>
    <row r="93" spans="3:21" ht="15" customHeight="1" x14ac:dyDescent="0.2">
      <c r="C93" s="1500"/>
      <c r="D93" s="1500"/>
      <c r="E93" s="1500"/>
      <c r="F93" s="1500"/>
      <c r="G93" s="1500"/>
      <c r="H93" s="1500"/>
      <c r="I93" s="1500"/>
      <c r="J93" s="1500"/>
      <c r="K93" s="1500"/>
      <c r="L93" s="1500"/>
      <c r="M93" s="1500"/>
      <c r="N93" s="1500"/>
      <c r="O93" s="1500"/>
      <c r="P93" s="1500"/>
      <c r="Q93" s="1500"/>
      <c r="R93" s="1500"/>
    </row>
    <row r="94" spans="3:21" ht="53.25" customHeight="1" x14ac:dyDescent="0.25">
      <c r="C94" s="1602" t="s">
        <v>161</v>
      </c>
      <c r="D94" s="1604" t="s">
        <v>162</v>
      </c>
      <c r="E94" s="1605"/>
      <c r="F94" s="1605"/>
      <c r="G94" s="1605"/>
      <c r="H94" s="1605"/>
      <c r="I94" s="1605"/>
      <c r="J94" s="1605"/>
      <c r="K94" s="1605"/>
      <c r="L94" s="1605"/>
      <c r="M94" s="1606"/>
      <c r="N94" s="1606"/>
      <c r="O94" s="1607" t="s">
        <v>163</v>
      </c>
      <c r="P94" s="1608"/>
      <c r="Q94" s="1608"/>
      <c r="R94" s="1608"/>
    </row>
    <row r="95" spans="3:21" ht="53.25" customHeight="1" x14ac:dyDescent="0.2">
      <c r="C95" s="1603"/>
      <c r="D95" s="1609" t="s">
        <v>36</v>
      </c>
      <c r="E95" s="1609"/>
      <c r="F95" s="1609"/>
      <c r="G95" s="1609"/>
      <c r="H95" s="1609"/>
      <c r="I95" s="1609" t="s">
        <v>164</v>
      </c>
      <c r="J95" s="1609"/>
      <c r="K95" s="1609"/>
      <c r="L95" s="1609"/>
      <c r="M95" s="1609" t="s">
        <v>165</v>
      </c>
      <c r="N95" s="1609"/>
      <c r="O95" s="1608"/>
      <c r="P95" s="1608"/>
      <c r="Q95" s="1608"/>
      <c r="R95" s="1608"/>
    </row>
    <row r="96" spans="3:21" ht="53.25" customHeight="1" x14ac:dyDescent="0.2">
      <c r="C96" s="1506">
        <v>1</v>
      </c>
      <c r="D96" s="1601" t="s">
        <v>1806</v>
      </c>
      <c r="E96" s="1601"/>
      <c r="F96" s="1601"/>
      <c r="G96" s="1601"/>
      <c r="H96" s="1601"/>
      <c r="I96" s="1601" t="s">
        <v>166</v>
      </c>
      <c r="J96" s="1601"/>
      <c r="K96" s="1601"/>
      <c r="L96" s="1601"/>
      <c r="M96" s="1601" t="s">
        <v>167</v>
      </c>
      <c r="N96" s="1610"/>
      <c r="O96" s="1601" t="s">
        <v>168</v>
      </c>
      <c r="P96" s="1601"/>
      <c r="Q96" s="1601"/>
      <c r="R96" s="1601"/>
    </row>
    <row r="97" spans="3:18" ht="53.25" customHeight="1" x14ac:dyDescent="0.2">
      <c r="C97" s="1506">
        <v>2</v>
      </c>
      <c r="D97" s="1601" t="s">
        <v>1807</v>
      </c>
      <c r="E97" s="1601"/>
      <c r="F97" s="1601"/>
      <c r="G97" s="1601"/>
      <c r="H97" s="1601"/>
      <c r="I97" s="1601"/>
      <c r="J97" s="1601"/>
      <c r="K97" s="1601"/>
      <c r="L97" s="1601"/>
      <c r="M97" s="1610"/>
      <c r="N97" s="1610"/>
      <c r="O97" s="1601"/>
      <c r="P97" s="1601"/>
      <c r="Q97" s="1601"/>
      <c r="R97" s="1601"/>
    </row>
    <row r="98" spans="3:18" ht="53.25" customHeight="1" x14ac:dyDescent="0.2">
      <c r="C98" s="1506">
        <v>3</v>
      </c>
      <c r="D98" s="1601" t="s">
        <v>1808</v>
      </c>
      <c r="E98" s="1601"/>
      <c r="F98" s="1601"/>
      <c r="G98" s="1601"/>
      <c r="H98" s="1601"/>
      <c r="I98" s="1601"/>
      <c r="J98" s="1601"/>
      <c r="K98" s="1601"/>
      <c r="L98" s="1601"/>
      <c r="M98" s="1601" t="s">
        <v>169</v>
      </c>
      <c r="N98" s="1610"/>
      <c r="O98" s="1601" t="s">
        <v>170</v>
      </c>
      <c r="P98" s="1601"/>
      <c r="Q98" s="1601"/>
      <c r="R98" s="1601"/>
    </row>
    <row r="99" spans="3:18" ht="53.25" customHeight="1" x14ac:dyDescent="0.2">
      <c r="C99" s="1506">
        <v>4</v>
      </c>
      <c r="D99" s="1610"/>
      <c r="E99" s="1610"/>
      <c r="F99" s="1610"/>
      <c r="G99" s="1610"/>
      <c r="H99" s="1610"/>
      <c r="I99" s="1601" t="s">
        <v>171</v>
      </c>
      <c r="J99" s="1601"/>
      <c r="K99" s="1601"/>
      <c r="L99" s="1601"/>
      <c r="M99" s="1610"/>
      <c r="N99" s="1610"/>
      <c r="O99" s="1601" t="s">
        <v>172</v>
      </c>
      <c r="P99" s="1601"/>
      <c r="Q99" s="1601"/>
      <c r="R99" s="1601"/>
    </row>
    <row r="100" spans="3:18" ht="53.25" customHeight="1" x14ac:dyDescent="0.2">
      <c r="C100" s="1600" t="s">
        <v>173</v>
      </c>
      <c r="D100" s="1601"/>
      <c r="E100" s="1601"/>
      <c r="F100" s="1601"/>
      <c r="G100" s="1601"/>
      <c r="H100" s="1601"/>
      <c r="I100" s="1601"/>
      <c r="J100" s="1601"/>
      <c r="K100" s="1601"/>
      <c r="L100" s="1601"/>
      <c r="M100" s="1601"/>
      <c r="N100" s="1601"/>
      <c r="O100" s="1601"/>
      <c r="P100" s="1601"/>
      <c r="Q100" s="1601"/>
      <c r="R100" s="1601"/>
    </row>
    <row r="101" spans="3:18" ht="15" customHeight="1" x14ac:dyDescent="0.2">
      <c r="D101" s="931"/>
      <c r="E101" s="931"/>
      <c r="F101" s="931"/>
      <c r="G101" s="931"/>
      <c r="H101" s="931"/>
      <c r="I101" s="931"/>
      <c r="J101" s="931"/>
      <c r="K101" s="931"/>
      <c r="L101" s="931"/>
      <c r="M101" s="931"/>
      <c r="N101" s="931"/>
      <c r="O101" s="931"/>
      <c r="P101" s="930"/>
    </row>
    <row r="102" spans="3:18" ht="15" customHeight="1" x14ac:dyDescent="0.2">
      <c r="D102" s="931"/>
      <c r="E102" s="931"/>
      <c r="F102" s="931"/>
      <c r="G102" s="931"/>
      <c r="H102" s="931"/>
      <c r="I102" s="931"/>
      <c r="J102" s="931"/>
      <c r="K102" s="931"/>
      <c r="L102" s="931"/>
      <c r="M102" s="931"/>
      <c r="N102" s="931"/>
      <c r="O102" s="931"/>
      <c r="P102" s="930"/>
    </row>
    <row r="103" spans="3:18" ht="15" customHeight="1" x14ac:dyDescent="0.2">
      <c r="D103" s="931"/>
      <c r="E103" s="931"/>
      <c r="F103" s="931"/>
      <c r="G103" s="931"/>
      <c r="H103" s="931"/>
      <c r="I103" s="931"/>
      <c r="J103" s="931"/>
      <c r="K103" s="931"/>
      <c r="L103" s="931"/>
      <c r="M103" s="931"/>
      <c r="N103" s="931"/>
      <c r="O103" s="931"/>
      <c r="P103" s="930"/>
    </row>
    <row r="104" spans="3:18" ht="15" customHeight="1" x14ac:dyDescent="0.2">
      <c r="D104" s="931"/>
      <c r="E104" s="931"/>
      <c r="F104" s="931"/>
      <c r="G104" s="931"/>
      <c r="H104" s="931"/>
      <c r="I104" s="931"/>
      <c r="J104" s="931"/>
      <c r="K104" s="931"/>
      <c r="L104" s="931"/>
      <c r="M104" s="931"/>
      <c r="N104" s="931"/>
      <c r="O104" s="931"/>
      <c r="P104" s="930"/>
    </row>
    <row r="105" spans="3:18" ht="15" customHeight="1" x14ac:dyDescent="0.2">
      <c r="D105" s="931"/>
      <c r="E105" s="931"/>
      <c r="F105" s="931"/>
      <c r="G105" s="931"/>
      <c r="H105" s="931"/>
      <c r="I105" s="931"/>
      <c r="J105" s="931"/>
      <c r="K105" s="931"/>
      <c r="L105" s="931"/>
      <c r="M105" s="931"/>
      <c r="N105" s="931"/>
      <c r="O105" s="931"/>
      <c r="P105" s="930"/>
    </row>
    <row r="106" spans="3:18" ht="15" customHeight="1" x14ac:dyDescent="0.2">
      <c r="P106" s="930"/>
    </row>
    <row r="107" spans="3:18" ht="15" customHeight="1" x14ac:dyDescent="0.2">
      <c r="P107" s="930"/>
    </row>
    <row r="108" spans="3:18" ht="15" customHeight="1" x14ac:dyDescent="0.2">
      <c r="P108" s="930"/>
    </row>
    <row r="109" spans="3:18" ht="15" customHeight="1" x14ac:dyDescent="0.2">
      <c r="P109" s="930"/>
    </row>
    <row r="110" spans="3:18" ht="15" customHeight="1" x14ac:dyDescent="0.2">
      <c r="P110" s="930"/>
    </row>
    <row r="111" spans="3:18" ht="15" customHeight="1" x14ac:dyDescent="0.2">
      <c r="P111" s="930"/>
    </row>
    <row r="112" spans="3:18" ht="15" customHeight="1" x14ac:dyDescent="0.2">
      <c r="P112" s="930"/>
    </row>
    <row r="113" spans="16:16" ht="15" customHeight="1" x14ac:dyDescent="0.2">
      <c r="P113" s="930"/>
    </row>
    <row r="114" spans="16:16" ht="15" customHeight="1" x14ac:dyDescent="0.2">
      <c r="P114" s="930"/>
    </row>
    <row r="115" spans="16:16" ht="15" customHeight="1" x14ac:dyDescent="0.2">
      <c r="P115" s="930"/>
    </row>
    <row r="116" spans="16:16" ht="15" customHeight="1" x14ac:dyDescent="0.2">
      <c r="P116" s="930"/>
    </row>
    <row r="117" spans="16:16" ht="15" customHeight="1" x14ac:dyDescent="0.2">
      <c r="P117" s="930"/>
    </row>
    <row r="118" spans="16:16" ht="15" customHeight="1" x14ac:dyDescent="0.2">
      <c r="P118" s="930"/>
    </row>
    <row r="119" spans="16:16" ht="15" customHeight="1" x14ac:dyDescent="0.2">
      <c r="P119" s="930"/>
    </row>
    <row r="120" spans="16:16" ht="15" customHeight="1" x14ac:dyDescent="0.2">
      <c r="P120" s="930"/>
    </row>
    <row r="121" spans="16:16" x14ac:dyDescent="0.2">
      <c r="P121" s="930"/>
    </row>
    <row r="122" spans="16:16" x14ac:dyDescent="0.2">
      <c r="P122" s="930"/>
    </row>
    <row r="123" spans="16:16" x14ac:dyDescent="0.2">
      <c r="P123" s="930"/>
    </row>
    <row r="124" spans="16:16" x14ac:dyDescent="0.2">
      <c r="P124" s="930"/>
    </row>
    <row r="125" spans="16:16" x14ac:dyDescent="0.2">
      <c r="P125" s="930"/>
    </row>
    <row r="126" spans="16:16" x14ac:dyDescent="0.2">
      <c r="P126" s="930"/>
    </row>
    <row r="127" spans="16:16" x14ac:dyDescent="0.2">
      <c r="P127" s="930"/>
    </row>
    <row r="128" spans="16:16" x14ac:dyDescent="0.2">
      <c r="P128" s="930"/>
    </row>
    <row r="129" spans="16:16" x14ac:dyDescent="0.2">
      <c r="P129" s="930"/>
    </row>
    <row r="130" spans="16:16" x14ac:dyDescent="0.2">
      <c r="P130" s="930"/>
    </row>
    <row r="131" spans="16:16" x14ac:dyDescent="0.2">
      <c r="P131" s="930"/>
    </row>
    <row r="132" spans="16:16" x14ac:dyDescent="0.2">
      <c r="P132" s="930"/>
    </row>
    <row r="133" spans="16:16" x14ac:dyDescent="0.2">
      <c r="P133" s="930"/>
    </row>
    <row r="134" spans="16:16" x14ac:dyDescent="0.2">
      <c r="P134" s="930"/>
    </row>
    <row r="135" spans="16:16" x14ac:dyDescent="0.2">
      <c r="P135" s="930"/>
    </row>
    <row r="136" spans="16:16" x14ac:dyDescent="0.2">
      <c r="P136" s="930"/>
    </row>
    <row r="137" spans="16:16" x14ac:dyDescent="0.2">
      <c r="P137" s="930"/>
    </row>
    <row r="138" spans="16:16" x14ac:dyDescent="0.2">
      <c r="P138" s="930"/>
    </row>
    <row r="139" spans="16:16" x14ac:dyDescent="0.2">
      <c r="P139" s="930"/>
    </row>
    <row r="140" spans="16:16" x14ac:dyDescent="0.2">
      <c r="P140" s="930"/>
    </row>
    <row r="141" spans="16:16" x14ac:dyDescent="0.2">
      <c r="P141" s="930"/>
    </row>
    <row r="142" spans="16:16" x14ac:dyDescent="0.2">
      <c r="P142" s="930"/>
    </row>
    <row r="143" spans="16:16" x14ac:dyDescent="0.2">
      <c r="P143" s="930"/>
    </row>
    <row r="144" spans="16:16" x14ac:dyDescent="0.2">
      <c r="P144" s="930"/>
    </row>
    <row r="145" spans="16:16" x14ac:dyDescent="0.2">
      <c r="P145" s="930"/>
    </row>
    <row r="146" spans="16:16" x14ac:dyDescent="0.2">
      <c r="P146" s="930"/>
    </row>
    <row r="147" spans="16:16" x14ac:dyDescent="0.2">
      <c r="P147" s="930"/>
    </row>
    <row r="148" spans="16:16" x14ac:dyDescent="0.2">
      <c r="P148" s="930"/>
    </row>
    <row r="149" spans="16:16" x14ac:dyDescent="0.2">
      <c r="P149" s="930"/>
    </row>
    <row r="150" spans="16:16" x14ac:dyDescent="0.2">
      <c r="P150" s="930"/>
    </row>
    <row r="151" spans="16:16" x14ac:dyDescent="0.2">
      <c r="P151" s="930"/>
    </row>
    <row r="152" spans="16:16" x14ac:dyDescent="0.2">
      <c r="P152" s="930"/>
    </row>
    <row r="153" spans="16:16" x14ac:dyDescent="0.2">
      <c r="P153" s="930"/>
    </row>
    <row r="154" spans="16:16" x14ac:dyDescent="0.2">
      <c r="P154" s="930"/>
    </row>
    <row r="155" spans="16:16" x14ac:dyDescent="0.2">
      <c r="P155" s="930"/>
    </row>
    <row r="156" spans="16:16" x14ac:dyDescent="0.2">
      <c r="P156" s="930"/>
    </row>
    <row r="157" spans="16:16" x14ac:dyDescent="0.2">
      <c r="P157" s="930"/>
    </row>
    <row r="158" spans="16:16" x14ac:dyDescent="0.2">
      <c r="P158" s="930"/>
    </row>
    <row r="159" spans="16:16" x14ac:dyDescent="0.2">
      <c r="P159" s="930"/>
    </row>
    <row r="160" spans="16:16" x14ac:dyDescent="0.2">
      <c r="P160" s="930"/>
    </row>
    <row r="161" spans="16:16" x14ac:dyDescent="0.2">
      <c r="P161" s="930"/>
    </row>
    <row r="162" spans="16:16" x14ac:dyDescent="0.2">
      <c r="P162" s="930"/>
    </row>
    <row r="163" spans="16:16" x14ac:dyDescent="0.2">
      <c r="P163" s="930"/>
    </row>
    <row r="164" spans="16:16" x14ac:dyDescent="0.2">
      <c r="P164" s="930"/>
    </row>
    <row r="165" spans="16:16" x14ac:dyDescent="0.2">
      <c r="P165" s="930"/>
    </row>
    <row r="166" spans="16:16" x14ac:dyDescent="0.2">
      <c r="P166" s="930"/>
    </row>
    <row r="167" spans="16:16" x14ac:dyDescent="0.2">
      <c r="P167" s="930"/>
    </row>
    <row r="168" spans="16:16" x14ac:dyDescent="0.2">
      <c r="P168" s="930"/>
    </row>
    <row r="169" spans="16:16" x14ac:dyDescent="0.2">
      <c r="P169" s="930"/>
    </row>
    <row r="170" spans="16:16" x14ac:dyDescent="0.2">
      <c r="P170" s="930"/>
    </row>
    <row r="171" spans="16:16" x14ac:dyDescent="0.2">
      <c r="P171" s="930"/>
    </row>
    <row r="172" spans="16:16" x14ac:dyDescent="0.2">
      <c r="P172" s="930"/>
    </row>
    <row r="173" spans="16:16" x14ac:dyDescent="0.2">
      <c r="P173" s="930"/>
    </row>
    <row r="174" spans="16:16" x14ac:dyDescent="0.2">
      <c r="P174" s="930"/>
    </row>
    <row r="175" spans="16:16" x14ac:dyDescent="0.2">
      <c r="P175" s="930"/>
    </row>
    <row r="176" spans="16:16" x14ac:dyDescent="0.2">
      <c r="P176" s="930"/>
    </row>
    <row r="177" spans="16:16" x14ac:dyDescent="0.2">
      <c r="P177" s="930"/>
    </row>
    <row r="178" spans="16:16" x14ac:dyDescent="0.2">
      <c r="P178" s="930"/>
    </row>
    <row r="179" spans="16:16" x14ac:dyDescent="0.2">
      <c r="P179" s="930"/>
    </row>
    <row r="180" spans="16:16" x14ac:dyDescent="0.2">
      <c r="P180" s="930"/>
    </row>
    <row r="181" spans="16:16" x14ac:dyDescent="0.2">
      <c r="P181" s="930"/>
    </row>
    <row r="182" spans="16:16" x14ac:dyDescent="0.2">
      <c r="P182" s="930"/>
    </row>
    <row r="183" spans="16:16" x14ac:dyDescent="0.2">
      <c r="P183" s="930"/>
    </row>
    <row r="184" spans="16:16" x14ac:dyDescent="0.2">
      <c r="P184" s="930"/>
    </row>
    <row r="185" spans="16:16" x14ac:dyDescent="0.2">
      <c r="P185" s="930"/>
    </row>
    <row r="186" spans="16:16" x14ac:dyDescent="0.2">
      <c r="P186" s="930"/>
    </row>
    <row r="187" spans="16:16" x14ac:dyDescent="0.2">
      <c r="P187" s="930"/>
    </row>
    <row r="188" spans="16:16" x14ac:dyDescent="0.2">
      <c r="P188" s="930"/>
    </row>
    <row r="189" spans="16:16" x14ac:dyDescent="0.2">
      <c r="P189" s="930"/>
    </row>
    <row r="190" spans="16:16" x14ac:dyDescent="0.2">
      <c r="P190" s="930"/>
    </row>
    <row r="191" spans="16:16" x14ac:dyDescent="0.2">
      <c r="P191" s="930"/>
    </row>
    <row r="192" spans="16:16" x14ac:dyDescent="0.2">
      <c r="P192" s="930"/>
    </row>
    <row r="193" spans="16:16" x14ac:dyDescent="0.2">
      <c r="P193" s="930"/>
    </row>
    <row r="194" spans="16:16" x14ac:dyDescent="0.2">
      <c r="P194" s="930"/>
    </row>
    <row r="195" spans="16:16" x14ac:dyDescent="0.2">
      <c r="P195" s="930"/>
    </row>
    <row r="196" spans="16:16" x14ac:dyDescent="0.2">
      <c r="P196" s="930"/>
    </row>
    <row r="197" spans="16:16" x14ac:dyDescent="0.2">
      <c r="P197" s="930"/>
    </row>
    <row r="198" spans="16:16" x14ac:dyDescent="0.2">
      <c r="P198" s="930"/>
    </row>
    <row r="199" spans="16:16" x14ac:dyDescent="0.2">
      <c r="P199" s="930"/>
    </row>
    <row r="200" spans="16:16" x14ac:dyDescent="0.2">
      <c r="P200" s="930"/>
    </row>
    <row r="201" spans="16:16" x14ac:dyDescent="0.2">
      <c r="P201" s="930"/>
    </row>
    <row r="202" spans="16:16" x14ac:dyDescent="0.2">
      <c r="P202" s="930"/>
    </row>
    <row r="203" spans="16:16" x14ac:dyDescent="0.2">
      <c r="P203" s="930"/>
    </row>
    <row r="204" spans="16:16" x14ac:dyDescent="0.2">
      <c r="P204" s="930"/>
    </row>
    <row r="205" spans="16:16" x14ac:dyDescent="0.2">
      <c r="P205" s="930"/>
    </row>
    <row r="206" spans="16:16" x14ac:dyDescent="0.2">
      <c r="P206" s="930"/>
    </row>
    <row r="207" spans="16:16" x14ac:dyDescent="0.2">
      <c r="P207" s="930"/>
    </row>
    <row r="208" spans="16:16" x14ac:dyDescent="0.2">
      <c r="P208" s="930"/>
    </row>
    <row r="209" spans="16:16" x14ac:dyDescent="0.2">
      <c r="P209" s="930"/>
    </row>
    <row r="210" spans="16:16" x14ac:dyDescent="0.2">
      <c r="P210" s="930"/>
    </row>
    <row r="211" spans="16:16" x14ac:dyDescent="0.2">
      <c r="P211" s="930"/>
    </row>
    <row r="212" spans="16:16" x14ac:dyDescent="0.2">
      <c r="P212" s="930"/>
    </row>
    <row r="213" spans="16:16" x14ac:dyDescent="0.2">
      <c r="P213" s="930"/>
    </row>
    <row r="214" spans="16:16" x14ac:dyDescent="0.2">
      <c r="P214" s="930"/>
    </row>
    <row r="215" spans="16:16" x14ac:dyDescent="0.2">
      <c r="P215" s="930"/>
    </row>
    <row r="216" spans="16:16" x14ac:dyDescent="0.2">
      <c r="P216" s="930"/>
    </row>
    <row r="217" spans="16:16" x14ac:dyDescent="0.2">
      <c r="P217" s="930"/>
    </row>
    <row r="218" spans="16:16" x14ac:dyDescent="0.2">
      <c r="P218" s="930"/>
    </row>
    <row r="219" spans="16:16" x14ac:dyDescent="0.2">
      <c r="P219" s="930"/>
    </row>
    <row r="220" spans="16:16" x14ac:dyDescent="0.2">
      <c r="P220" s="930"/>
    </row>
    <row r="221" spans="16:16" x14ac:dyDescent="0.2">
      <c r="P221" s="930"/>
    </row>
    <row r="222" spans="16:16" x14ac:dyDescent="0.2">
      <c r="P222" s="930"/>
    </row>
    <row r="223" spans="16:16" x14ac:dyDescent="0.2">
      <c r="P223" s="930"/>
    </row>
    <row r="224" spans="16:16" x14ac:dyDescent="0.2">
      <c r="P224" s="930"/>
    </row>
    <row r="225" spans="16:16" x14ac:dyDescent="0.2">
      <c r="P225" s="930"/>
    </row>
    <row r="226" spans="16:16" x14ac:dyDescent="0.2">
      <c r="P226" s="930"/>
    </row>
    <row r="227" spans="16:16" x14ac:dyDescent="0.2">
      <c r="P227" s="930"/>
    </row>
    <row r="228" spans="16:16" x14ac:dyDescent="0.2">
      <c r="P228" s="930"/>
    </row>
    <row r="229" spans="16:16" x14ac:dyDescent="0.2">
      <c r="P229" s="930"/>
    </row>
    <row r="230" spans="16:16" x14ac:dyDescent="0.2">
      <c r="P230" s="930"/>
    </row>
    <row r="231" spans="16:16" x14ac:dyDescent="0.2">
      <c r="P231" s="930"/>
    </row>
    <row r="232" spans="16:16" x14ac:dyDescent="0.2">
      <c r="P232" s="930"/>
    </row>
    <row r="233" spans="16:16" x14ac:dyDescent="0.2">
      <c r="P233" s="930"/>
    </row>
    <row r="234" spans="16:16" x14ac:dyDescent="0.2">
      <c r="P234" s="930"/>
    </row>
    <row r="235" spans="16:16" x14ac:dyDescent="0.2">
      <c r="P235" s="930"/>
    </row>
    <row r="236" spans="16:16" x14ac:dyDescent="0.2">
      <c r="P236" s="930"/>
    </row>
    <row r="237" spans="16:16" x14ac:dyDescent="0.2">
      <c r="P237" s="930"/>
    </row>
    <row r="238" spans="16:16" x14ac:dyDescent="0.2">
      <c r="P238" s="930"/>
    </row>
    <row r="239" spans="16:16" x14ac:dyDescent="0.2">
      <c r="P239" s="930"/>
    </row>
    <row r="240" spans="16:16" x14ac:dyDescent="0.2">
      <c r="P240" s="930"/>
    </row>
    <row r="241" spans="16:16" x14ac:dyDescent="0.2">
      <c r="P241" s="930"/>
    </row>
    <row r="242" spans="16:16" x14ac:dyDescent="0.2">
      <c r="P242" s="930"/>
    </row>
    <row r="243" spans="16:16" x14ac:dyDescent="0.2">
      <c r="P243" s="930"/>
    </row>
    <row r="244" spans="16:16" x14ac:dyDescent="0.2">
      <c r="P244" s="930"/>
    </row>
    <row r="245" spans="16:16" x14ac:dyDescent="0.2">
      <c r="P245" s="930"/>
    </row>
    <row r="246" spans="16:16" x14ac:dyDescent="0.2">
      <c r="P246" s="930"/>
    </row>
    <row r="247" spans="16:16" x14ac:dyDescent="0.2">
      <c r="P247" s="930"/>
    </row>
    <row r="248" spans="16:16" x14ac:dyDescent="0.2">
      <c r="P248" s="930"/>
    </row>
    <row r="249" spans="16:16" x14ac:dyDescent="0.2">
      <c r="P249" s="930"/>
    </row>
    <row r="250" spans="16:16" x14ac:dyDescent="0.2">
      <c r="P250" s="930"/>
    </row>
    <row r="251" spans="16:16" x14ac:dyDescent="0.2">
      <c r="P251" s="930"/>
    </row>
    <row r="252" spans="16:16" x14ac:dyDescent="0.2">
      <c r="P252" s="930"/>
    </row>
    <row r="253" spans="16:16" x14ac:dyDescent="0.2">
      <c r="P253" s="930"/>
    </row>
    <row r="254" spans="16:16" x14ac:dyDescent="0.2">
      <c r="P254" s="930"/>
    </row>
    <row r="255" spans="16:16" x14ac:dyDescent="0.2">
      <c r="P255" s="930"/>
    </row>
    <row r="256" spans="16:16" x14ac:dyDescent="0.2">
      <c r="P256" s="930"/>
    </row>
    <row r="257" spans="16:16" x14ac:dyDescent="0.2">
      <c r="P257" s="930"/>
    </row>
    <row r="258" spans="16:16" x14ac:dyDescent="0.2">
      <c r="P258" s="930"/>
    </row>
    <row r="259" spans="16:16" x14ac:dyDescent="0.2">
      <c r="P259" s="930"/>
    </row>
    <row r="260" spans="16:16" x14ac:dyDescent="0.2">
      <c r="P260" s="930"/>
    </row>
    <row r="261" spans="16:16" x14ac:dyDescent="0.2">
      <c r="P261" s="930"/>
    </row>
    <row r="262" spans="16:16" x14ac:dyDescent="0.2">
      <c r="P262" s="930"/>
    </row>
    <row r="263" spans="16:16" x14ac:dyDescent="0.2">
      <c r="P263" s="930"/>
    </row>
    <row r="264" spans="16:16" x14ac:dyDescent="0.2">
      <c r="P264" s="930"/>
    </row>
    <row r="265" spans="16:16" x14ac:dyDescent="0.2">
      <c r="P265" s="930"/>
    </row>
    <row r="266" spans="16:16" x14ac:dyDescent="0.2">
      <c r="P266" s="930"/>
    </row>
    <row r="267" spans="16:16" x14ac:dyDescent="0.2">
      <c r="P267" s="930"/>
    </row>
    <row r="268" spans="16:16" x14ac:dyDescent="0.2">
      <c r="P268" s="930"/>
    </row>
    <row r="269" spans="16:16" x14ac:dyDescent="0.2">
      <c r="P269" s="930"/>
    </row>
    <row r="270" spans="16:16" x14ac:dyDescent="0.2">
      <c r="P270" s="930"/>
    </row>
    <row r="271" spans="16:16" x14ac:dyDescent="0.2">
      <c r="P271" s="930"/>
    </row>
    <row r="272" spans="16:16" x14ac:dyDescent="0.2">
      <c r="P272" s="930"/>
    </row>
    <row r="273" spans="16:16" x14ac:dyDescent="0.2">
      <c r="P273" s="930"/>
    </row>
    <row r="274" spans="16:16" x14ac:dyDescent="0.2">
      <c r="P274" s="930"/>
    </row>
    <row r="275" spans="16:16" x14ac:dyDescent="0.2">
      <c r="P275" s="930"/>
    </row>
    <row r="276" spans="16:16" x14ac:dyDescent="0.2">
      <c r="P276" s="930"/>
    </row>
    <row r="277" spans="16:16" x14ac:dyDescent="0.2">
      <c r="P277" s="930"/>
    </row>
    <row r="278" spans="16:16" x14ac:dyDescent="0.2">
      <c r="P278" s="930"/>
    </row>
    <row r="279" spans="16:16" x14ac:dyDescent="0.2">
      <c r="P279" s="930"/>
    </row>
    <row r="280" spans="16:16" x14ac:dyDescent="0.2">
      <c r="P280" s="930"/>
    </row>
    <row r="281" spans="16:16" x14ac:dyDescent="0.2">
      <c r="P281" s="930"/>
    </row>
    <row r="282" spans="16:16" x14ac:dyDescent="0.2">
      <c r="P282" s="930"/>
    </row>
    <row r="283" spans="16:16" x14ac:dyDescent="0.2">
      <c r="P283" s="930"/>
    </row>
    <row r="284" spans="16:16" x14ac:dyDescent="0.2">
      <c r="P284" s="930"/>
    </row>
    <row r="285" spans="16:16" x14ac:dyDescent="0.2">
      <c r="P285" s="930"/>
    </row>
    <row r="286" spans="16:16" x14ac:dyDescent="0.2">
      <c r="P286" s="930"/>
    </row>
    <row r="287" spans="16:16" x14ac:dyDescent="0.2">
      <c r="P287" s="930"/>
    </row>
    <row r="288" spans="16:16" x14ac:dyDescent="0.2">
      <c r="P288" s="930"/>
    </row>
    <row r="289" spans="16:16" x14ac:dyDescent="0.2">
      <c r="P289" s="930"/>
    </row>
    <row r="290" spans="16:16" x14ac:dyDescent="0.2">
      <c r="P290" s="930"/>
    </row>
    <row r="291" spans="16:16" x14ac:dyDescent="0.2">
      <c r="P291" s="930"/>
    </row>
    <row r="292" spans="16:16" x14ac:dyDescent="0.2">
      <c r="P292" s="930"/>
    </row>
    <row r="293" spans="16:16" x14ac:dyDescent="0.2">
      <c r="P293" s="930"/>
    </row>
    <row r="294" spans="16:16" x14ac:dyDescent="0.2">
      <c r="P294" s="930"/>
    </row>
    <row r="295" spans="16:16" x14ac:dyDescent="0.2">
      <c r="P295" s="930"/>
    </row>
    <row r="296" spans="16:16" x14ac:dyDescent="0.2">
      <c r="P296" s="930"/>
    </row>
    <row r="297" spans="16:16" x14ac:dyDescent="0.2">
      <c r="P297" s="930"/>
    </row>
    <row r="298" spans="16:16" x14ac:dyDescent="0.2">
      <c r="P298" s="930"/>
    </row>
    <row r="299" spans="16:16" x14ac:dyDescent="0.2">
      <c r="P299" s="930"/>
    </row>
    <row r="300" spans="16:16" x14ac:dyDescent="0.2">
      <c r="P300" s="930"/>
    </row>
    <row r="301" spans="16:16" x14ac:dyDescent="0.2">
      <c r="P301" s="930"/>
    </row>
    <row r="302" spans="16:16" x14ac:dyDescent="0.2">
      <c r="P302" s="930"/>
    </row>
    <row r="303" spans="16:16" x14ac:dyDescent="0.2">
      <c r="P303" s="930"/>
    </row>
    <row r="304" spans="16:16" x14ac:dyDescent="0.2">
      <c r="P304" s="930"/>
    </row>
    <row r="305" spans="16:16" x14ac:dyDescent="0.2">
      <c r="P305" s="930"/>
    </row>
    <row r="306" spans="16:16" x14ac:dyDescent="0.2">
      <c r="P306" s="930"/>
    </row>
    <row r="307" spans="16:16" x14ac:dyDescent="0.2">
      <c r="P307" s="930"/>
    </row>
    <row r="308" spans="16:16" x14ac:dyDescent="0.2">
      <c r="P308" s="930"/>
    </row>
    <row r="309" spans="16:16" x14ac:dyDescent="0.2">
      <c r="P309" s="930"/>
    </row>
    <row r="310" spans="16:16" x14ac:dyDescent="0.2">
      <c r="P310" s="930"/>
    </row>
    <row r="311" spans="16:16" x14ac:dyDescent="0.2">
      <c r="P311" s="930"/>
    </row>
    <row r="312" spans="16:16" x14ac:dyDescent="0.2">
      <c r="P312" s="930"/>
    </row>
    <row r="313" spans="16:16" x14ac:dyDescent="0.2">
      <c r="P313" s="930"/>
    </row>
    <row r="314" spans="16:16" x14ac:dyDescent="0.2">
      <c r="P314" s="930"/>
    </row>
    <row r="315" spans="16:16" x14ac:dyDescent="0.2">
      <c r="P315" s="930"/>
    </row>
    <row r="316" spans="16:16" x14ac:dyDescent="0.2">
      <c r="P316" s="930"/>
    </row>
    <row r="317" spans="16:16" x14ac:dyDescent="0.2">
      <c r="P317" s="930"/>
    </row>
    <row r="318" spans="16:16" x14ac:dyDescent="0.2">
      <c r="P318" s="930"/>
    </row>
    <row r="319" spans="16:16" x14ac:dyDescent="0.2">
      <c r="P319" s="930"/>
    </row>
    <row r="320" spans="16:16" x14ac:dyDescent="0.2">
      <c r="P320" s="930"/>
    </row>
    <row r="321" spans="16:16" x14ac:dyDescent="0.2">
      <c r="P321" s="930"/>
    </row>
    <row r="322" spans="16:16" x14ac:dyDescent="0.2">
      <c r="P322" s="930"/>
    </row>
    <row r="323" spans="16:16" x14ac:dyDescent="0.2">
      <c r="P323" s="930"/>
    </row>
    <row r="324" spans="16:16" x14ac:dyDescent="0.2">
      <c r="P324" s="930"/>
    </row>
    <row r="325" spans="16:16" x14ac:dyDescent="0.2">
      <c r="P325" s="930"/>
    </row>
    <row r="326" spans="16:16" x14ac:dyDescent="0.2">
      <c r="P326" s="930"/>
    </row>
    <row r="327" spans="16:16" x14ac:dyDescent="0.2">
      <c r="P327" s="930"/>
    </row>
    <row r="328" spans="16:16" x14ac:dyDescent="0.2">
      <c r="P328" s="930"/>
    </row>
    <row r="329" spans="16:16" x14ac:dyDescent="0.2">
      <c r="P329" s="930"/>
    </row>
    <row r="330" spans="16:16" x14ac:dyDescent="0.2">
      <c r="P330" s="930"/>
    </row>
    <row r="331" spans="16:16" x14ac:dyDescent="0.2">
      <c r="P331" s="930"/>
    </row>
    <row r="332" spans="16:16" x14ac:dyDescent="0.2">
      <c r="P332" s="930"/>
    </row>
    <row r="333" spans="16:16" x14ac:dyDescent="0.2">
      <c r="P333" s="930"/>
    </row>
    <row r="334" spans="16:16" x14ac:dyDescent="0.2">
      <c r="P334" s="930"/>
    </row>
    <row r="335" spans="16:16" x14ac:dyDescent="0.2">
      <c r="P335" s="930"/>
    </row>
    <row r="336" spans="16:16" x14ac:dyDescent="0.2">
      <c r="P336" s="930"/>
    </row>
    <row r="337" spans="16:16" x14ac:dyDescent="0.2">
      <c r="P337" s="930"/>
    </row>
    <row r="338" spans="16:16" x14ac:dyDescent="0.2">
      <c r="P338" s="930"/>
    </row>
    <row r="339" spans="16:16" x14ac:dyDescent="0.2">
      <c r="P339" s="930"/>
    </row>
    <row r="340" spans="16:16" x14ac:dyDescent="0.2">
      <c r="P340" s="930"/>
    </row>
    <row r="341" spans="16:16" x14ac:dyDescent="0.2">
      <c r="P341" s="930"/>
    </row>
    <row r="342" spans="16:16" x14ac:dyDescent="0.2">
      <c r="P342" s="930"/>
    </row>
    <row r="343" spans="16:16" x14ac:dyDescent="0.2">
      <c r="P343" s="930"/>
    </row>
    <row r="344" spans="16:16" x14ac:dyDescent="0.2">
      <c r="P344" s="930"/>
    </row>
    <row r="345" spans="16:16" x14ac:dyDescent="0.2">
      <c r="P345" s="930"/>
    </row>
    <row r="346" spans="16:16" x14ac:dyDescent="0.2">
      <c r="P346" s="930"/>
    </row>
    <row r="347" spans="16:16" x14ac:dyDescent="0.2">
      <c r="P347" s="930"/>
    </row>
    <row r="348" spans="16:16" x14ac:dyDescent="0.2">
      <c r="P348" s="930"/>
    </row>
    <row r="349" spans="16:16" x14ac:dyDescent="0.2">
      <c r="P349" s="930"/>
    </row>
    <row r="350" spans="16:16" x14ac:dyDescent="0.2">
      <c r="P350" s="930"/>
    </row>
    <row r="351" spans="16:16" x14ac:dyDescent="0.2">
      <c r="P351" s="930"/>
    </row>
    <row r="352" spans="16:16" x14ac:dyDescent="0.2">
      <c r="P352" s="930"/>
    </row>
    <row r="353" spans="16:16" x14ac:dyDescent="0.2">
      <c r="P353" s="930"/>
    </row>
    <row r="354" spans="16:16" x14ac:dyDescent="0.2">
      <c r="P354" s="930"/>
    </row>
    <row r="355" spans="16:16" x14ac:dyDescent="0.2">
      <c r="P355" s="930"/>
    </row>
    <row r="356" spans="16:16" x14ac:dyDescent="0.2">
      <c r="P356" s="930"/>
    </row>
    <row r="357" spans="16:16" x14ac:dyDescent="0.2">
      <c r="P357" s="930"/>
    </row>
    <row r="358" spans="16:16" x14ac:dyDescent="0.2">
      <c r="P358" s="930"/>
    </row>
    <row r="359" spans="16:16" x14ac:dyDescent="0.2">
      <c r="P359" s="930"/>
    </row>
    <row r="360" spans="16:16" x14ac:dyDescent="0.2">
      <c r="P360" s="930"/>
    </row>
  </sheetData>
  <sheetProtection algorithmName="SHA-512" hashValue="k/xB7eAI8F2wG2QKDjgNkvHytYktu7rHMvdptAqo+C6vd5OPyq+z6Z+7lijlWq+S1gnSfZn4o4S5bC6w///YLg==" saltValue="equH0CMRjujmxC0cFdqFWQ==" spinCount="100000" sheet="1" objects="1" scenarios="1"/>
  <dataConsolidate/>
  <mergeCells count="87">
    <mergeCell ref="L55:M55"/>
    <mergeCell ref="H56:K56"/>
    <mergeCell ref="H58:K58"/>
    <mergeCell ref="L58:M58"/>
    <mergeCell ref="L53:M53"/>
    <mergeCell ref="L56:M56"/>
    <mergeCell ref="L51:M51"/>
    <mergeCell ref="H52:K52"/>
    <mergeCell ref="L52:M52"/>
    <mergeCell ref="H53:K53"/>
    <mergeCell ref="L54:M54"/>
    <mergeCell ref="H54:K54"/>
    <mergeCell ref="C29:D29"/>
    <mergeCell ref="C31:D31"/>
    <mergeCell ref="C32:D32"/>
    <mergeCell ref="C45:D45"/>
    <mergeCell ref="C33:D33"/>
    <mergeCell ref="C44:D44"/>
    <mergeCell ref="C35:D35"/>
    <mergeCell ref="C36:D36"/>
    <mergeCell ref="L1:N1"/>
    <mergeCell ref="C2:D2"/>
    <mergeCell ref="F2:I2"/>
    <mergeCell ref="C4:D4"/>
    <mergeCell ref="F4:I4"/>
    <mergeCell ref="F1:J1"/>
    <mergeCell ref="C6:D6"/>
    <mergeCell ref="F6:I6"/>
    <mergeCell ref="C8:D8"/>
    <mergeCell ref="F8:I8"/>
    <mergeCell ref="C24:D24"/>
    <mergeCell ref="C14:D14"/>
    <mergeCell ref="C22:D22"/>
    <mergeCell ref="C16:D16"/>
    <mergeCell ref="C12:D12"/>
    <mergeCell ref="C18:D18"/>
    <mergeCell ref="C20:D20"/>
    <mergeCell ref="C10:D10"/>
    <mergeCell ref="H14:J14"/>
    <mergeCell ref="C88:D88"/>
    <mergeCell ref="F88:G88"/>
    <mergeCell ref="K14:L14"/>
    <mergeCell ref="C37:D37"/>
    <mergeCell ref="C38:D38"/>
    <mergeCell ref="C39:D39"/>
    <mergeCell ref="C41:D41"/>
    <mergeCell ref="C42:D42"/>
    <mergeCell ref="C40:D40"/>
    <mergeCell ref="C27:D27"/>
    <mergeCell ref="C43:D43"/>
    <mergeCell ref="C46:D46"/>
    <mergeCell ref="C66:F66"/>
    <mergeCell ref="H51:K51"/>
    <mergeCell ref="H55:K55"/>
    <mergeCell ref="D49:R49"/>
    <mergeCell ref="O99:R99"/>
    <mergeCell ref="L61:M61"/>
    <mergeCell ref="H61:K61"/>
    <mergeCell ref="N14:P14"/>
    <mergeCell ref="H88:R88"/>
    <mergeCell ref="C64:R64"/>
    <mergeCell ref="H59:K59"/>
    <mergeCell ref="L59:M59"/>
    <mergeCell ref="H60:K60"/>
    <mergeCell ref="L60:M60"/>
    <mergeCell ref="D74:F74"/>
    <mergeCell ref="C68:F68"/>
    <mergeCell ref="C70:F70"/>
    <mergeCell ref="C69:F69"/>
    <mergeCell ref="D76:F76"/>
    <mergeCell ref="D77:F77"/>
    <mergeCell ref="C100:R100"/>
    <mergeCell ref="C94:C95"/>
    <mergeCell ref="D94:N94"/>
    <mergeCell ref="O94:R95"/>
    <mergeCell ref="D95:H95"/>
    <mergeCell ref="I95:L95"/>
    <mergeCell ref="M95:N95"/>
    <mergeCell ref="D96:H96"/>
    <mergeCell ref="I96:L98"/>
    <mergeCell ref="M96:N97"/>
    <mergeCell ref="O96:R97"/>
    <mergeCell ref="D97:H97"/>
    <mergeCell ref="D98:H99"/>
    <mergeCell ref="M98:N99"/>
    <mergeCell ref="O98:R98"/>
    <mergeCell ref="I99:L99"/>
  </mergeCells>
  <conditionalFormatting sqref="R38:R42">
    <cfRule type="expression" dxfId="29" priority="34">
      <formula>S38&gt;0</formula>
    </cfRule>
  </conditionalFormatting>
  <conditionalFormatting sqref="J46:J48">
    <cfRule type="expression" dxfId="28" priority="33" stopIfTrue="1">
      <formula>"IF(P35=1)"</formula>
    </cfRule>
  </conditionalFormatting>
  <conditionalFormatting sqref="L69">
    <cfRule type="expression" dxfId="27" priority="31">
      <formula>$H$68="-"</formula>
    </cfRule>
  </conditionalFormatting>
  <conditionalFormatting sqref="F62:F63">
    <cfRule type="expression" dxfId="26" priority="16">
      <formula>$F$62="Yes"</formula>
    </cfRule>
  </conditionalFormatting>
  <conditionalFormatting sqref="F12">
    <cfRule type="expression" dxfId="25" priority="43">
      <formula>$F$10="Part &amp; Part"</formula>
    </cfRule>
  </conditionalFormatting>
  <conditionalFormatting sqref="C14:L14">
    <cfRule type="expression" dxfId="24" priority="44">
      <formula>$F$10&lt;&gt;"Part &amp; Part"</formula>
    </cfRule>
  </conditionalFormatting>
  <conditionalFormatting sqref="L66">
    <cfRule type="cellIs" dxfId="23" priority="12" operator="equal">
      <formula>"Fail"</formula>
    </cfRule>
  </conditionalFormatting>
  <conditionalFormatting sqref="L68">
    <cfRule type="cellIs" dxfId="22" priority="7" operator="equal">
      <formula>"Fail"</formula>
    </cfRule>
  </conditionalFormatting>
  <conditionalFormatting sqref="L70">
    <cfRule type="cellIs" dxfId="21" priority="6" operator="equal">
      <formula>"Fail"</formula>
    </cfRule>
  </conditionalFormatting>
  <dataValidations count="5">
    <dataValidation type="whole" allowBlank="1" showInputMessage="1" showErrorMessage="1" error="maximum number of applicants is 4" sqref="F20" xr:uid="{00000000-0002-0000-0000-000000000000}">
      <formula1>0</formula1>
      <formula2>4</formula2>
    </dataValidation>
    <dataValidation type="whole" operator="greaterThanOrEqual" allowBlank="1" showErrorMessage="1" errorTitle="must contain a number" error="Input override amount (round nuumber with no £) - if no overide insert Zero" promptTitle="cell must contain a number " prompt="Either insert the provable override expenditure amount (round nuumber with no £) _x000a_Or if no overide insert 0" sqref="R40:R42" xr:uid="{00000000-0002-0000-0000-000001000000}">
      <formula1>0</formula1>
    </dataValidation>
    <dataValidation type="whole" operator="greaterThanOrEqual" allowBlank="1" showInputMessage="1" showErrorMessage="1" errorTitle="must contain a number" error="Input override amount (round number with no £) - if no overide insert Zero" sqref="R38" xr:uid="{00000000-0002-0000-0000-000003000000}">
      <formula1>0</formula1>
    </dataValidation>
    <dataValidation type="whole" operator="greaterThanOrEqual" allowBlank="1" showInputMessage="1" showErrorMessage="1" errorTitle="must contain a number" error="Input override amount (round nuumber with no £) - if no overide insert Zero" promptTitle="cell must contain a number " prompt="Either insert the provable override expenditure amount (round nuumber with no £) _x000a_Or if no overide insert 0" sqref="R44:R45 R39" xr:uid="{00000000-0002-0000-0000-000004000000}">
      <formula1>0</formula1>
    </dataValidation>
    <dataValidation type="decimal" allowBlank="1" showInputMessage="1" showErrorMessage="1" sqref="F18" xr:uid="{00000000-0002-0000-0000-000009000000}">
      <formula1>0</formula1>
      <formula2>40</formula2>
    </dataValidation>
  </dataValidations>
  <pageMargins left="0.70866141732283472" right="0.23622047244094491" top="0.74803149606299213" bottom="0.74803149606299213" header="0.31496062992125984" footer="0.31496062992125984"/>
  <pageSetup paperSize="9" fitToHeight="0" orientation="portrait" r:id="rId1"/>
  <rowBreaks count="1" manualBreakCount="1">
    <brk id="53" max="16383" man="1"/>
  </rowBreaks>
  <drawing r:id="rId2"/>
  <extLst>
    <ext xmlns:x14="http://schemas.microsoft.com/office/spreadsheetml/2009/9/main" uri="{78C0D931-6437-407d-A8EE-F0AAD7539E65}">
      <x14:conditionalFormattings>
        <x14:conditionalFormatting xmlns:xm="http://schemas.microsoft.com/office/excel/2006/main">
          <x14:cfRule type="expression" priority="5" id="{4061A33C-F7A9-43A9-B730-1F5D36B4DA59}">
            <xm:f>' VBS Criteria'!$G$15&lt;&gt;"Interest Only"</xm:f>
            <x14:dxf>
              <font>
                <color theme="0" tint="-0.14996795556505021"/>
              </font>
            </x14:dxf>
          </x14:cfRule>
          <xm:sqref>L68</xm:sqref>
        </x14:conditionalFormatting>
        <x14:conditionalFormatting xmlns:xm="http://schemas.microsoft.com/office/excel/2006/main">
          <x14:cfRule type="expression" priority="4" id="{004272F8-FA0D-410A-8BC1-3070C5131E11}">
            <xm:f>' VBS Criteria'!$G$15&lt;&gt;"Part &amp; Part"</xm:f>
            <x14:dxf>
              <font>
                <color theme="0" tint="-0.14996795556505021"/>
              </font>
            </x14:dxf>
          </x14:cfRule>
          <xm:sqref>L70</xm:sqref>
        </x14:conditionalFormatting>
        <x14:conditionalFormatting xmlns:xm="http://schemas.microsoft.com/office/excel/2006/main">
          <x14:cfRule type="expression" priority="29" id="{47E8BE37-BF98-46BA-8BCD-163A8EFCF3A8}">
            <xm:f>#REF!='Drop down'!$C$7</xm:f>
            <x14:dxf>
              <font>
                <color theme="0"/>
              </font>
              <fill>
                <patternFill>
                  <bgColor theme="0"/>
                </patternFill>
              </fill>
              <border>
                <left/>
                <right/>
                <top/>
                <bottom/>
              </border>
            </x14:dxf>
          </x14:cfRule>
          <xm:sqref>N4:N8 L28</xm:sqref>
        </x14:conditionalFormatting>
        <x14:conditionalFormatting xmlns:xm="http://schemas.microsoft.com/office/excel/2006/main">
          <x14:cfRule type="expression" priority="27" id="{6A69BB0D-1AD3-4C40-BC2F-4647A2EFE36C}">
            <xm:f>#REF!='Drop down'!$C$7</xm:f>
            <x14:dxf>
              <font>
                <color theme="0"/>
              </font>
              <fill>
                <patternFill>
                  <bgColor theme="0"/>
                </patternFill>
              </fill>
              <border>
                <left/>
                <right/>
                <top/>
                <bottom/>
              </border>
            </x14:dxf>
          </x14:cfRule>
          <xm:sqref>N36:N46</xm:sqref>
        </x14:conditionalFormatting>
        <x14:conditionalFormatting xmlns:xm="http://schemas.microsoft.com/office/excel/2006/main">
          <x14:cfRule type="expression" priority="26" id="{6B8A68A7-192C-46EB-BE4D-3D15EDA890D3}">
            <xm:f>#REF!='Drop down'!$C$7</xm:f>
            <x14:dxf>
              <font>
                <color theme="0"/>
              </font>
              <fill>
                <patternFill>
                  <bgColor theme="0"/>
                </patternFill>
              </fill>
              <border>
                <left/>
                <right/>
                <top/>
                <bottom/>
              </border>
            </x14:dxf>
          </x14:cfRule>
          <xm:sqref>E6:I7</xm:sqref>
        </x14:conditionalFormatting>
        <x14:conditionalFormatting xmlns:xm="http://schemas.microsoft.com/office/excel/2006/main">
          <x14:cfRule type="expression" priority="14" id="{4118CD7E-4934-480A-8028-1DFA405840A1}">
            <xm:f>' VBS Criteria'!$G$23="No"</xm:f>
            <x14:dxf>
              <font>
                <color theme="0" tint="-0.14996795556505021"/>
              </font>
            </x14:dxf>
          </x14:cfRule>
          <xm:sqref>H70:K70</xm:sqref>
        </x14:conditionalFormatting>
        <x14:conditionalFormatting xmlns:xm="http://schemas.microsoft.com/office/excel/2006/main">
          <x14:cfRule type="expression" priority="13" id="{6BA4D342-1303-401F-9320-80E83AA39369}">
            <xm:f>' VBS Criteria'!$G$22="No"</xm:f>
            <x14:dxf>
              <font>
                <color theme="0" tint="-0.14996795556505021"/>
              </font>
            </x14:dxf>
          </x14:cfRule>
          <xm:sqref>H68:K68</xm:sqref>
        </x14:conditionalFormatting>
        <x14:conditionalFormatting xmlns:xm="http://schemas.microsoft.com/office/excel/2006/main">
          <x14:cfRule type="expression" priority="3" id="{DB7F97A3-B198-48E3-BC09-0ADA5AE10189}">
            <xm:f>' VBS Criteria'!$G$15&lt;&gt;"Part &amp; Part"</xm:f>
            <x14:dxf>
              <font>
                <color theme="0"/>
              </font>
              <fill>
                <patternFill>
                  <bgColor theme="0"/>
                </patternFill>
              </fill>
              <border>
                <left/>
                <right/>
                <top/>
                <bottom/>
                <vertical/>
                <horizontal/>
              </border>
            </x14:dxf>
          </x14:cfRule>
          <xm:sqref>D84:J86</xm:sqref>
        </x14:conditionalFormatting>
        <x14:conditionalFormatting xmlns:xm="http://schemas.microsoft.com/office/excel/2006/main">
          <x14:cfRule type="expression" priority="2" id="{0C2D1E83-D65E-41A5-BB12-1E9A2811C1C1}">
            <xm:f>' VBS Criteria'!$G$15&lt;&gt;"Interest Only"</xm:f>
            <x14:dxf>
              <font>
                <color theme="0"/>
              </font>
              <fill>
                <patternFill>
                  <bgColor theme="0"/>
                </patternFill>
              </fill>
              <border>
                <left/>
                <right/>
                <top/>
                <bottom/>
                <vertical/>
                <horizontal/>
              </border>
            </x14:dxf>
          </x14:cfRule>
          <xm:sqref>D80:J82</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6000000}">
          <x14:formula1>
            <xm:f>'Drop down'!$G$2:$G$3</xm:f>
          </x14:formula1>
          <xm:sqref>F22</xm:sqref>
        </x14:dataValidation>
        <x14:dataValidation type="list" allowBlank="1" showInputMessage="1" showErrorMessage="1" xr:uid="{00000000-0002-0000-0000-000007000000}">
          <x14:formula1>
            <xm:f>'Drop down'!$E$2:$E$5</xm:f>
          </x14:formula1>
          <xm:sqref>F24</xm:sqref>
        </x14:dataValidation>
        <x14:dataValidation type="list" allowBlank="1" showInputMessage="1" showErrorMessage="1" xr:uid="{CAF23BDF-6187-4652-BC2B-32F6BBA7005D}">
          <x14:formula1>
            <xm:f>'Drop down'!$I$2:$I$5</xm:f>
          </x14:formula1>
          <xm:sqref>F6:I7</xm:sqref>
        </x14:dataValidation>
        <x14:dataValidation type="list" allowBlank="1" showInputMessage="1" showErrorMessage="1" xr:uid="{00000000-0002-0000-0000-000008000000}">
          <x14:formula1>
            <xm:f>'Drop down'!$C$2:$C$4</xm:f>
          </x14:formula1>
          <xm:sqref>F10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rgb="FF002060"/>
  </sheetPr>
  <dimension ref="A1:U41"/>
  <sheetViews>
    <sheetView topLeftCell="A20" workbookViewId="0">
      <selection activeCell="I6" sqref="I6"/>
    </sheetView>
  </sheetViews>
  <sheetFormatPr defaultRowHeight="15" x14ac:dyDescent="0.25"/>
  <cols>
    <col min="5" max="5" width="13.140625" customWidth="1"/>
    <col min="6" max="6" width="12.5703125" customWidth="1"/>
    <col min="7" max="7" width="10.28515625" customWidth="1"/>
    <col min="8" max="8" width="10.7109375" customWidth="1"/>
    <col min="9" max="9" width="18.5703125" customWidth="1"/>
    <col min="11" max="11" width="10.140625" bestFit="1" customWidth="1"/>
    <col min="12" max="12" width="12" bestFit="1" customWidth="1"/>
    <col min="13" max="13" width="12" customWidth="1"/>
    <col min="19" max="19" width="15" customWidth="1"/>
    <col min="20" max="20" width="12.7109375" customWidth="1"/>
  </cols>
  <sheetData>
    <row r="1" spans="1:21" ht="50.25" customHeight="1" thickBot="1" x14ac:dyDescent="0.3">
      <c r="A1" s="10" t="s">
        <v>174</v>
      </c>
      <c r="C1" s="10" t="s">
        <v>175</v>
      </c>
      <c r="E1" s="775" t="s">
        <v>176</v>
      </c>
      <c r="F1" s="775" t="s">
        <v>177</v>
      </c>
      <c r="G1" s="775" t="s">
        <v>178</v>
      </c>
      <c r="H1" s="775" t="s">
        <v>179</v>
      </c>
      <c r="I1" s="775" t="s">
        <v>180</v>
      </c>
      <c r="J1" s="775" t="s">
        <v>181</v>
      </c>
      <c r="K1" s="9"/>
      <c r="L1" s="775" t="s">
        <v>150</v>
      </c>
      <c r="M1" s="775" t="s">
        <v>182</v>
      </c>
      <c r="O1" s="1655" t="s">
        <v>183</v>
      </c>
      <c r="P1" s="1655"/>
      <c r="Q1" s="1655"/>
      <c r="R1" s="1655"/>
      <c r="S1" s="1655"/>
      <c r="T1" s="1655"/>
    </row>
    <row r="2" spans="1:21" ht="15.75" thickBot="1" x14ac:dyDescent="0.3">
      <c r="A2">
        <v>1</v>
      </c>
      <c r="C2" t="s">
        <v>12</v>
      </c>
      <c r="E2">
        <v>0</v>
      </c>
      <c r="F2">
        <v>0</v>
      </c>
      <c r="G2">
        <v>1</v>
      </c>
      <c r="H2">
        <v>1</v>
      </c>
      <c r="I2" s="5" t="s">
        <v>184</v>
      </c>
      <c r="J2" s="5" t="s">
        <v>185</v>
      </c>
      <c r="L2" s="775" t="s">
        <v>186</v>
      </c>
      <c r="M2" s="775" t="s">
        <v>187</v>
      </c>
      <c r="O2" s="1653" t="s">
        <v>77</v>
      </c>
      <c r="P2" s="550" t="s">
        <v>188</v>
      </c>
      <c r="Q2" s="551">
        <v>2</v>
      </c>
      <c r="R2" s="552">
        <v>3</v>
      </c>
      <c r="S2" s="553">
        <v>4</v>
      </c>
      <c r="T2" s="553">
        <v>4</v>
      </c>
    </row>
    <row r="3" spans="1:21" ht="15.75" thickBot="1" x14ac:dyDescent="0.3">
      <c r="A3">
        <v>2</v>
      </c>
      <c r="C3" t="s">
        <v>156</v>
      </c>
      <c r="E3">
        <v>1</v>
      </c>
      <c r="F3">
        <v>10</v>
      </c>
      <c r="G3" s="4" t="s">
        <v>189</v>
      </c>
      <c r="H3">
        <v>2</v>
      </c>
      <c r="I3" s="5" t="s">
        <v>190</v>
      </c>
      <c r="J3" s="5" t="s">
        <v>191</v>
      </c>
      <c r="L3" s="10" t="s">
        <v>192</v>
      </c>
      <c r="M3" s="10" t="s">
        <v>193</v>
      </c>
      <c r="O3" s="1654"/>
      <c r="P3" s="550" t="s">
        <v>194</v>
      </c>
      <c r="Q3" s="551">
        <v>2</v>
      </c>
      <c r="R3" s="552">
        <v>3</v>
      </c>
      <c r="S3" s="553">
        <v>4</v>
      </c>
      <c r="T3" s="553">
        <v>4</v>
      </c>
    </row>
    <row r="4" spans="1:21" ht="15.75" thickBot="1" x14ac:dyDescent="0.3">
      <c r="A4">
        <v>3</v>
      </c>
      <c r="C4" t="s">
        <v>11</v>
      </c>
      <c r="E4">
        <v>2</v>
      </c>
      <c r="F4">
        <v>20</v>
      </c>
      <c r="I4" s="5"/>
      <c r="J4" s="5" t="s">
        <v>195</v>
      </c>
      <c r="L4" s="10" t="s">
        <v>196</v>
      </c>
      <c r="M4" s="10"/>
      <c r="O4" s="1654"/>
      <c r="P4" s="550" t="s">
        <v>197</v>
      </c>
      <c r="Q4" s="554">
        <v>1</v>
      </c>
      <c r="R4" s="551">
        <v>2</v>
      </c>
      <c r="S4" s="552">
        <v>3</v>
      </c>
      <c r="T4" s="553">
        <v>4</v>
      </c>
    </row>
    <row r="5" spans="1:21" ht="15.75" thickBot="1" x14ac:dyDescent="0.3">
      <c r="A5">
        <v>4</v>
      </c>
      <c r="E5" s="4" t="s">
        <v>198</v>
      </c>
      <c r="F5">
        <v>30</v>
      </c>
      <c r="I5" s="5"/>
      <c r="J5" s="5"/>
      <c r="L5" s="10" t="s">
        <v>199</v>
      </c>
      <c r="M5" s="10"/>
      <c r="O5" s="1654"/>
      <c r="P5" s="555" t="s">
        <v>200</v>
      </c>
      <c r="Q5" s="554">
        <v>1</v>
      </c>
      <c r="R5" s="551">
        <v>2</v>
      </c>
      <c r="S5" s="552">
        <v>3</v>
      </c>
      <c r="T5" s="553">
        <v>4</v>
      </c>
    </row>
    <row r="6" spans="1:21" ht="15.75" customHeight="1" x14ac:dyDescent="0.25">
      <c r="A6">
        <v>5</v>
      </c>
      <c r="C6" s="10" t="s">
        <v>181</v>
      </c>
      <c r="I6" s="5"/>
      <c r="J6" s="5"/>
      <c r="P6" s="555"/>
      <c r="Q6" s="555" t="s">
        <v>201</v>
      </c>
      <c r="R6" s="555" t="s">
        <v>202</v>
      </c>
      <c r="S6" s="555" t="s">
        <v>203</v>
      </c>
      <c r="T6" s="555" t="s">
        <v>204</v>
      </c>
      <c r="U6" s="556" t="s">
        <v>205</v>
      </c>
    </row>
    <row r="7" spans="1:21" x14ac:dyDescent="0.25">
      <c r="A7">
        <v>6</v>
      </c>
      <c r="C7" t="s">
        <v>206</v>
      </c>
      <c r="I7" s="5"/>
      <c r="J7" s="5"/>
      <c r="O7" s="1655" t="s">
        <v>207</v>
      </c>
      <c r="P7" s="1655"/>
      <c r="Q7" s="1655"/>
      <c r="R7" s="1655"/>
      <c r="S7" s="1655"/>
      <c r="T7" s="1655"/>
    </row>
    <row r="8" spans="1:21" x14ac:dyDescent="0.25">
      <c r="A8">
        <v>7</v>
      </c>
      <c r="C8" t="s">
        <v>208</v>
      </c>
      <c r="I8" s="5"/>
      <c r="J8" s="5"/>
      <c r="O8" s="557" t="s">
        <v>77</v>
      </c>
      <c r="U8" s="1653" t="s">
        <v>77</v>
      </c>
    </row>
    <row r="9" spans="1:21" x14ac:dyDescent="0.25">
      <c r="A9">
        <v>8</v>
      </c>
      <c r="I9" s="5"/>
      <c r="J9" s="5"/>
      <c r="O9" s="550" t="s">
        <v>188</v>
      </c>
      <c r="P9">
        <v>3</v>
      </c>
      <c r="Q9" s="12">
        <f t="shared" ref="Q9:T11" si="0">Q$13*$P9</f>
        <v>3</v>
      </c>
      <c r="R9" s="561">
        <f>R$13*$P9</f>
        <v>15</v>
      </c>
      <c r="S9" s="558">
        <f t="shared" si="0"/>
        <v>36</v>
      </c>
      <c r="T9" s="558">
        <f t="shared" si="0"/>
        <v>75</v>
      </c>
      <c r="U9" s="1653"/>
    </row>
    <row r="10" spans="1:21" x14ac:dyDescent="0.25">
      <c r="A10">
        <v>9</v>
      </c>
      <c r="I10" s="5"/>
      <c r="J10" s="5"/>
      <c r="O10" s="550" t="s">
        <v>194</v>
      </c>
      <c r="P10">
        <v>2.5</v>
      </c>
      <c r="Q10" s="12">
        <f t="shared" si="0"/>
        <v>2.5</v>
      </c>
      <c r="R10" s="561">
        <f t="shared" si="0"/>
        <v>12.5</v>
      </c>
      <c r="S10" s="558">
        <f t="shared" si="0"/>
        <v>30</v>
      </c>
      <c r="T10" s="558">
        <f t="shared" si="0"/>
        <v>62.5</v>
      </c>
      <c r="U10" s="1653"/>
    </row>
    <row r="11" spans="1:21" x14ac:dyDescent="0.25">
      <c r="A11">
        <v>10</v>
      </c>
      <c r="I11" s="5"/>
      <c r="J11" s="5"/>
      <c r="O11" s="550" t="s">
        <v>197</v>
      </c>
      <c r="P11">
        <v>2</v>
      </c>
      <c r="Q11" s="559">
        <f t="shared" si="0"/>
        <v>2</v>
      </c>
      <c r="R11" s="12">
        <f t="shared" si="0"/>
        <v>10</v>
      </c>
      <c r="S11" s="561">
        <f t="shared" si="0"/>
        <v>24</v>
      </c>
      <c r="T11" s="558">
        <f t="shared" si="0"/>
        <v>50</v>
      </c>
      <c r="U11" s="1653"/>
    </row>
    <row r="12" spans="1:21" x14ac:dyDescent="0.25">
      <c r="A12">
        <v>11</v>
      </c>
      <c r="I12" s="5"/>
      <c r="J12" s="5"/>
      <c r="O12" s="555" t="s">
        <v>200</v>
      </c>
      <c r="P12">
        <v>1</v>
      </c>
      <c r="Q12" s="559">
        <f>Q$13*$P12</f>
        <v>1</v>
      </c>
      <c r="R12" s="12">
        <f>R$13*$P12</f>
        <v>5</v>
      </c>
      <c r="S12" s="561">
        <f>S$13*$P12</f>
        <v>12</v>
      </c>
      <c r="T12" s="558">
        <f>T$13*$P12</f>
        <v>25</v>
      </c>
    </row>
    <row r="13" spans="1:21" x14ac:dyDescent="0.25">
      <c r="A13">
        <v>12</v>
      </c>
      <c r="I13" s="5"/>
      <c r="J13" s="5"/>
      <c r="Q13">
        <v>1</v>
      </c>
      <c r="R13">
        <v>5</v>
      </c>
      <c r="S13">
        <v>12</v>
      </c>
      <c r="T13" s="560">
        <v>25</v>
      </c>
    </row>
    <row r="14" spans="1:21" x14ac:dyDescent="0.25">
      <c r="A14">
        <v>13</v>
      </c>
      <c r="I14" s="8"/>
      <c r="J14" s="8"/>
      <c r="K14" s="5"/>
      <c r="L14" s="6"/>
      <c r="M14" s="6"/>
      <c r="O14" s="555"/>
      <c r="Q14" s="555" t="s">
        <v>201</v>
      </c>
      <c r="R14" s="555" t="s">
        <v>202</v>
      </c>
      <c r="S14" s="555" t="s">
        <v>203</v>
      </c>
      <c r="T14" s="555" t="s">
        <v>204</v>
      </c>
      <c r="U14" s="556" t="s">
        <v>209</v>
      </c>
    </row>
    <row r="15" spans="1:21" ht="15.75" thickBot="1" x14ac:dyDescent="0.3">
      <c r="A15">
        <v>14</v>
      </c>
      <c r="K15" s="5"/>
    </row>
    <row r="16" spans="1:21" ht="15.75" thickBot="1" x14ac:dyDescent="0.3">
      <c r="A16">
        <v>15</v>
      </c>
      <c r="L16" s="7"/>
      <c r="M16" s="7"/>
      <c r="O16" s="571" t="s">
        <v>77</v>
      </c>
      <c r="P16" s="573"/>
      <c r="Q16" s="571" t="s">
        <v>74</v>
      </c>
      <c r="R16" s="572"/>
      <c r="S16" s="612" t="s">
        <v>150</v>
      </c>
      <c r="T16" s="612" t="s">
        <v>210</v>
      </c>
    </row>
    <row r="17" spans="1:20" ht="30" x14ac:dyDescent="0.25">
      <c r="A17">
        <v>16</v>
      </c>
      <c r="O17" s="567">
        <v>0</v>
      </c>
      <c r="P17" s="568">
        <v>1</v>
      </c>
      <c r="Q17" s="567">
        <v>0</v>
      </c>
      <c r="R17" s="584">
        <v>1</v>
      </c>
      <c r="S17" s="590" t="s">
        <v>186</v>
      </c>
      <c r="T17" s="587" t="s">
        <v>211</v>
      </c>
    </row>
    <row r="18" spans="1:20" ht="30" x14ac:dyDescent="0.25">
      <c r="A18">
        <v>17</v>
      </c>
      <c r="O18" s="564">
        <v>60</v>
      </c>
      <c r="P18" s="569">
        <v>2</v>
      </c>
      <c r="Q18" s="565">
        <v>75</v>
      </c>
      <c r="R18" s="777">
        <v>5</v>
      </c>
      <c r="S18" s="587" t="s">
        <v>186</v>
      </c>
      <c r="T18" s="587" t="s">
        <v>211</v>
      </c>
    </row>
    <row r="19" spans="1:20" x14ac:dyDescent="0.25">
      <c r="A19">
        <v>18</v>
      </c>
      <c r="O19" s="564">
        <v>80</v>
      </c>
      <c r="P19" s="569">
        <v>2.5</v>
      </c>
      <c r="Q19" s="565">
        <v>90</v>
      </c>
      <c r="R19" s="777">
        <v>12</v>
      </c>
      <c r="S19" s="587" t="s">
        <v>186</v>
      </c>
      <c r="T19" s="587" t="s">
        <v>192</v>
      </c>
    </row>
    <row r="20" spans="1:20" x14ac:dyDescent="0.25">
      <c r="A20">
        <v>19</v>
      </c>
      <c r="O20" s="565">
        <v>90</v>
      </c>
      <c r="P20" s="569">
        <v>3</v>
      </c>
      <c r="Q20" s="565">
        <v>95</v>
      </c>
      <c r="R20" s="585">
        <v>25</v>
      </c>
      <c r="S20" s="588" t="s">
        <v>196</v>
      </c>
      <c r="T20" s="587" t="s">
        <v>192</v>
      </c>
    </row>
    <row r="21" spans="1:20" ht="15.75" thickBot="1" x14ac:dyDescent="0.3">
      <c r="A21">
        <v>20</v>
      </c>
      <c r="O21" s="566">
        <v>100</v>
      </c>
      <c r="P21" s="570"/>
      <c r="Q21" s="566">
        <v>100.01</v>
      </c>
      <c r="R21" s="586">
        <v>1000</v>
      </c>
      <c r="S21" s="589" t="s">
        <v>192</v>
      </c>
      <c r="T21" s="587" t="s">
        <v>192</v>
      </c>
    </row>
    <row r="22" spans="1:20" x14ac:dyDescent="0.25">
      <c r="A22">
        <v>21</v>
      </c>
    </row>
    <row r="23" spans="1:20" ht="15.75" thickBot="1" x14ac:dyDescent="0.3">
      <c r="A23">
        <v>22</v>
      </c>
      <c r="P23" s="555" t="s">
        <v>212</v>
      </c>
    </row>
    <row r="24" spans="1:20" ht="15.75" thickBot="1" x14ac:dyDescent="0.3">
      <c r="A24">
        <v>23</v>
      </c>
      <c r="O24" s="562"/>
      <c r="P24" s="580"/>
      <c r="Q24" s="581" t="s">
        <v>213</v>
      </c>
    </row>
    <row r="25" spans="1:20" x14ac:dyDescent="0.25">
      <c r="A25">
        <v>24</v>
      </c>
      <c r="P25" s="578">
        <v>0</v>
      </c>
      <c r="Q25" s="579" t="s">
        <v>214</v>
      </c>
    </row>
    <row r="26" spans="1:20" x14ac:dyDescent="0.25">
      <c r="A26">
        <v>25</v>
      </c>
      <c r="P26" s="563">
        <v>2</v>
      </c>
      <c r="Q26" s="574" t="s">
        <v>215</v>
      </c>
    </row>
    <row r="27" spans="1:20" x14ac:dyDescent="0.25">
      <c r="A27">
        <v>26</v>
      </c>
      <c r="P27" s="563">
        <v>10</v>
      </c>
      <c r="Q27" s="575" t="s">
        <v>216</v>
      </c>
    </row>
    <row r="28" spans="1:20" ht="15.75" thickBot="1" x14ac:dyDescent="0.3">
      <c r="A28">
        <v>27</v>
      </c>
      <c r="P28" s="576">
        <v>24</v>
      </c>
      <c r="Q28" s="577" t="s">
        <v>217</v>
      </c>
    </row>
    <row r="29" spans="1:20" x14ac:dyDescent="0.25">
      <c r="A29">
        <v>28</v>
      </c>
    </row>
    <row r="30" spans="1:20" x14ac:dyDescent="0.25">
      <c r="A30">
        <v>29</v>
      </c>
    </row>
    <row r="31" spans="1:20" x14ac:dyDescent="0.25">
      <c r="A31">
        <v>30</v>
      </c>
    </row>
    <row r="32" spans="1:20" x14ac:dyDescent="0.25">
      <c r="A32">
        <v>31</v>
      </c>
    </row>
    <row r="33" spans="1:18" x14ac:dyDescent="0.25">
      <c r="A33">
        <v>32</v>
      </c>
      <c r="O33" t="s">
        <v>218</v>
      </c>
    </row>
    <row r="34" spans="1:18" x14ac:dyDescent="0.25">
      <c r="A34">
        <v>33</v>
      </c>
      <c r="O34" t="s">
        <v>77</v>
      </c>
      <c r="P34">
        <v>59</v>
      </c>
      <c r="Q34">
        <f>VLOOKUP(P34,O17:P21,2,TRUE)</f>
        <v>1</v>
      </c>
    </row>
    <row r="35" spans="1:18" x14ac:dyDescent="0.25">
      <c r="A35">
        <v>34</v>
      </c>
      <c r="O35" t="s">
        <v>74</v>
      </c>
      <c r="P35">
        <v>74.5</v>
      </c>
      <c r="Q35">
        <f>VLOOKUP(P35,Q17:S21,2,TRUE)</f>
        <v>1</v>
      </c>
      <c r="R35" t="str">
        <f>VLOOKUP(P35,Q17:S21,3,TRUE)</f>
        <v>Pass</v>
      </c>
    </row>
    <row r="36" spans="1:18" x14ac:dyDescent="0.25">
      <c r="A36">
        <v>35</v>
      </c>
      <c r="Q36">
        <f>Q34*Q35</f>
        <v>1</v>
      </c>
      <c r="R36" t="str">
        <f>VLOOKUP(Q36,P25:Q28,2,TRUE)</f>
        <v>Level 1</v>
      </c>
    </row>
    <row r="37" spans="1:18" x14ac:dyDescent="0.25">
      <c r="A37">
        <v>36</v>
      </c>
    </row>
    <row r="38" spans="1:18" x14ac:dyDescent="0.25">
      <c r="A38">
        <v>37</v>
      </c>
    </row>
    <row r="39" spans="1:18" x14ac:dyDescent="0.25">
      <c r="A39">
        <v>38</v>
      </c>
    </row>
    <row r="40" spans="1:18" x14ac:dyDescent="0.25">
      <c r="A40">
        <v>39</v>
      </c>
    </row>
    <row r="41" spans="1:18" x14ac:dyDescent="0.25">
      <c r="A41">
        <v>40</v>
      </c>
    </row>
  </sheetData>
  <sheetProtection algorithmName="SHA-512" hashValue="aUxydAMgvLAk/XM5xeMVw9zolnFWTJQ01lLoy5QHOLWgARbeoyRIIinBd7xSz0BrbFUWPJU1lSCz0h32stYqIg==" saltValue="6A3rJ3bmCGijTC50lZksUg==" spinCount="100000" sheet="1" selectLockedCells="1" selectUnlockedCells="1"/>
  <mergeCells count="4">
    <mergeCell ref="O2:O5"/>
    <mergeCell ref="O1:T1"/>
    <mergeCell ref="U8:U11"/>
    <mergeCell ref="O7:T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20BC2-3968-4AC5-A42C-B8A681568165}">
  <sheetPr codeName="Sheet23">
    <tabColor rgb="FF00B0F0"/>
  </sheetPr>
  <dimension ref="B1:V66"/>
  <sheetViews>
    <sheetView showGridLines="0" showRowColHeaders="0" zoomScaleNormal="100" workbookViewId="0">
      <selection activeCell="F7" sqref="F7"/>
    </sheetView>
  </sheetViews>
  <sheetFormatPr defaultColWidth="9.140625" defaultRowHeight="17.25" customHeight="1" x14ac:dyDescent="0.25"/>
  <cols>
    <col min="1" max="1" width="3.85546875" style="907" customWidth="1"/>
    <col min="2" max="2" width="18.140625" style="907" customWidth="1"/>
    <col min="3" max="3" width="25.42578125" style="907" customWidth="1"/>
    <col min="4" max="6" width="12.7109375" style="907" customWidth="1"/>
    <col min="7" max="7" width="9.140625" style="907" customWidth="1"/>
    <col min="8" max="8" width="15.85546875" style="907" customWidth="1"/>
    <col min="9" max="9" width="10.7109375" style="907" customWidth="1"/>
    <col min="10" max="10" width="19" style="907" customWidth="1"/>
    <col min="11" max="11" width="22.85546875" style="907" customWidth="1"/>
    <col min="12" max="14" width="13.140625" style="907" customWidth="1"/>
    <col min="15" max="15" width="9.140625" style="907" customWidth="1"/>
    <col min="16" max="16" width="16.140625" style="907" customWidth="1"/>
    <col min="17" max="18" width="9.140625" style="907"/>
    <col min="19" max="22" width="9.140625" style="907" hidden="1" customWidth="1"/>
    <col min="23" max="23" width="10.140625" style="907" customWidth="1"/>
    <col min="24" max="16384" width="9.140625" style="907"/>
  </cols>
  <sheetData>
    <row r="1" spans="2:22" ht="7.5" customHeight="1" x14ac:dyDescent="0.25">
      <c r="S1" s="908">
        <v>1</v>
      </c>
      <c r="T1" s="908">
        <v>1</v>
      </c>
      <c r="V1" s="907">
        <v>1</v>
      </c>
    </row>
    <row r="2" spans="2:22" ht="17.25" customHeight="1" x14ac:dyDescent="0.25">
      <c r="B2" s="909" t="s">
        <v>17</v>
      </c>
      <c r="S2" s="908">
        <v>0.8</v>
      </c>
      <c r="T2" s="908">
        <v>0.75</v>
      </c>
      <c r="V2" s="907">
        <v>2</v>
      </c>
    </row>
    <row r="3" spans="2:22" ht="12.75" customHeight="1" thickBot="1" x14ac:dyDescent="0.3">
      <c r="S3" s="908">
        <v>0.5</v>
      </c>
      <c r="T3" s="908">
        <v>0.5</v>
      </c>
      <c r="V3" s="907">
        <v>3</v>
      </c>
    </row>
    <row r="4" spans="2:22" ht="17.25" customHeight="1" thickBot="1" x14ac:dyDescent="0.3">
      <c r="B4" s="1681" t="s">
        <v>18</v>
      </c>
      <c r="C4" s="1682"/>
      <c r="D4" s="1682"/>
      <c r="E4" s="1682"/>
      <c r="F4" s="1682"/>
      <c r="G4" s="1682"/>
      <c r="H4" s="1683"/>
      <c r="J4" s="1681" t="s">
        <v>19</v>
      </c>
      <c r="K4" s="1682"/>
      <c r="L4" s="1682"/>
      <c r="M4" s="1682"/>
      <c r="N4" s="1682"/>
      <c r="O4" s="1682"/>
      <c r="P4" s="1683"/>
    </row>
    <row r="5" spans="2:22" ht="17.25" customHeight="1" thickBot="1" x14ac:dyDescent="0.3">
      <c r="B5" s="1672" t="s">
        <v>219</v>
      </c>
      <c r="C5" s="1673"/>
      <c r="D5" s="1144">
        <v>1</v>
      </c>
      <c r="E5" s="1145">
        <v>2</v>
      </c>
      <c r="F5" s="1146" t="s">
        <v>220</v>
      </c>
      <c r="G5" s="910" t="s">
        <v>221</v>
      </c>
      <c r="H5" s="911" t="s">
        <v>122</v>
      </c>
      <c r="J5" s="1672" t="s">
        <v>219</v>
      </c>
      <c r="K5" s="1673"/>
      <c r="L5" s="1144">
        <f>D5</f>
        <v>1</v>
      </c>
      <c r="M5" s="1145">
        <f>E5</f>
        <v>2</v>
      </c>
      <c r="N5" s="1146" t="str">
        <f>F5</f>
        <v>3 (latest)</v>
      </c>
      <c r="O5" s="1143" t="s">
        <v>221</v>
      </c>
      <c r="P5" s="911" t="s">
        <v>122</v>
      </c>
    </row>
    <row r="6" spans="2:22" ht="17.25" customHeight="1" x14ac:dyDescent="0.25">
      <c r="B6" s="1674" t="s">
        <v>222</v>
      </c>
      <c r="C6" s="912" t="s">
        <v>223</v>
      </c>
      <c r="D6" s="1116"/>
      <c r="E6" s="1117"/>
      <c r="F6" s="1118"/>
      <c r="G6" s="1119">
        <v>1</v>
      </c>
      <c r="H6" s="1025">
        <f>IFERROR((SUM(D6:F6)/COUNTA(D6:F6))*G6,0)</f>
        <v>0</v>
      </c>
      <c r="J6" s="1674" t="s">
        <v>222</v>
      </c>
      <c r="K6" s="912" t="s">
        <v>223</v>
      </c>
      <c r="L6" s="1116"/>
      <c r="M6" s="1117"/>
      <c r="N6" s="1118"/>
      <c r="O6" s="1119">
        <v>1</v>
      </c>
      <c r="P6" s="1025">
        <f>IFERROR((SUM(L6:N6)/COUNTA(L6:N6))*O6,0)</f>
        <v>0</v>
      </c>
    </row>
    <row r="7" spans="2:22" ht="17.25" customHeight="1" thickBot="1" x14ac:dyDescent="0.3">
      <c r="B7" s="1675"/>
      <c r="C7" s="913" t="s">
        <v>224</v>
      </c>
      <c r="D7" s="1120"/>
      <c r="E7" s="1121"/>
      <c r="F7" s="1170"/>
      <c r="G7" s="1123">
        <v>1</v>
      </c>
      <c r="H7" s="1026">
        <f>IFERROR((SUM(D7:F7)/COUNTA(D7:F7))*G7,0)</f>
        <v>0</v>
      </c>
      <c r="J7" s="1675"/>
      <c r="K7" s="913" t="s">
        <v>224</v>
      </c>
      <c r="L7" s="1120"/>
      <c r="M7" s="1121"/>
      <c r="N7" s="1170"/>
      <c r="O7" s="1123">
        <v>1</v>
      </c>
      <c r="P7" s="1026">
        <f>IFERROR((SUM(L7:N7)/COUNTA(L7:N7))*O7,0)</f>
        <v>0</v>
      </c>
    </row>
    <row r="8" spans="2:22" ht="17.25" customHeight="1" x14ac:dyDescent="0.25">
      <c r="B8" s="1676" t="s">
        <v>225</v>
      </c>
      <c r="C8" s="914" t="s">
        <v>226</v>
      </c>
      <c r="D8" s="1124"/>
      <c r="E8" s="1125"/>
      <c r="F8" s="1126"/>
      <c r="G8" s="1127">
        <v>0.5</v>
      </c>
      <c r="H8" s="1025">
        <f t="shared" ref="H8:H9" si="0">IFERROR((SUM(D8:F8)/COUNTA(D8:F8))*G8,0)</f>
        <v>0</v>
      </c>
      <c r="J8" s="1676" t="s">
        <v>225</v>
      </c>
      <c r="K8" s="914" t="s">
        <v>226</v>
      </c>
      <c r="L8" s="1124"/>
      <c r="M8" s="1125"/>
      <c r="N8" s="1126"/>
      <c r="O8" s="1127">
        <v>0.5</v>
      </c>
      <c r="P8" s="1025">
        <f t="shared" ref="P8:P9" si="1">IFERROR((SUM(L8:N8)/COUNTA(L8:N8))*O8,0)</f>
        <v>0</v>
      </c>
    </row>
    <row r="9" spans="2:22" ht="17.25" customHeight="1" thickBot="1" x14ac:dyDescent="0.3">
      <c r="B9" s="1677"/>
      <c r="C9" s="915" t="s">
        <v>227</v>
      </c>
      <c r="D9" s="1128"/>
      <c r="E9" s="1129"/>
      <c r="F9" s="1130"/>
      <c r="G9" s="1131">
        <v>0.5</v>
      </c>
      <c r="H9" s="1026">
        <f t="shared" si="0"/>
        <v>0</v>
      </c>
      <c r="J9" s="1677"/>
      <c r="K9" s="915" t="s">
        <v>227</v>
      </c>
      <c r="L9" s="1128"/>
      <c r="M9" s="1129"/>
      <c r="N9" s="1130"/>
      <c r="O9" s="1131">
        <v>0.5</v>
      </c>
      <c r="P9" s="1026">
        <f t="shared" si="1"/>
        <v>0</v>
      </c>
    </row>
    <row r="10" spans="2:22" ht="17.25" customHeight="1" thickBot="1" x14ac:dyDescent="0.3">
      <c r="B10" s="1684" t="s">
        <v>228</v>
      </c>
      <c r="C10" s="1685"/>
      <c r="D10" s="1144">
        <v>1</v>
      </c>
      <c r="E10" s="1145">
        <v>2</v>
      </c>
      <c r="F10" s="1146" t="s">
        <v>220</v>
      </c>
      <c r="G10" s="1033" t="s">
        <v>229</v>
      </c>
      <c r="H10" s="1027" t="s">
        <v>122</v>
      </c>
      <c r="J10" s="1684" t="s">
        <v>228</v>
      </c>
      <c r="K10" s="1685"/>
      <c r="L10" s="1144">
        <v>1</v>
      </c>
      <c r="M10" s="1145">
        <v>2</v>
      </c>
      <c r="N10" s="1146" t="str">
        <f>F10</f>
        <v>3 (latest)</v>
      </c>
      <c r="O10" s="1143" t="s">
        <v>229</v>
      </c>
      <c r="P10" s="1027" t="s">
        <v>122</v>
      </c>
    </row>
    <row r="11" spans="2:22" ht="17.25" customHeight="1" x14ac:dyDescent="0.25">
      <c r="B11" s="1674" t="s">
        <v>230</v>
      </c>
      <c r="C11" s="912" t="s">
        <v>231</v>
      </c>
      <c r="D11" s="1116"/>
      <c r="E11" s="1117"/>
      <c r="F11" s="1118"/>
      <c r="G11" s="1132">
        <v>2</v>
      </c>
      <c r="H11" s="1028">
        <f>IF(F11="",0,IF(G11=1,F11,IF(G11=2,AVERAGE(E11:F11),IF(G11=3,AVERAGE(D11:F11),""))))</f>
        <v>0</v>
      </c>
      <c r="J11" s="1674" t="s">
        <v>230</v>
      </c>
      <c r="K11" s="912" t="s">
        <v>231</v>
      </c>
      <c r="L11" s="1116"/>
      <c r="M11" s="1117"/>
      <c r="N11" s="1118"/>
      <c r="O11" s="1132">
        <v>2</v>
      </c>
      <c r="P11" s="1028">
        <f>IF(N11="",0,IF(O11=1,N11,IF(O11=2,AVERAGE(M11:N11),IF(O11=3,AVERAGE(L11:N11),""))))</f>
        <v>0</v>
      </c>
    </row>
    <row r="12" spans="2:22" ht="17.25" customHeight="1" thickBot="1" x14ac:dyDescent="0.3">
      <c r="B12" s="1675"/>
      <c r="C12" s="913" t="s">
        <v>232</v>
      </c>
      <c r="D12" s="1120"/>
      <c r="E12" s="1121"/>
      <c r="F12" s="1122"/>
      <c r="G12" s="1133">
        <v>2</v>
      </c>
      <c r="H12" s="1029">
        <f>IF(F12="",0,IF(G12=1,F12,IF(G12=2,AVERAGE(E12:F12),IF(G12=3,AVERAGE(D12:F12),"0"))))</f>
        <v>0</v>
      </c>
      <c r="J12" s="1675"/>
      <c r="K12" s="913" t="s">
        <v>232</v>
      </c>
      <c r="L12" s="1120"/>
      <c r="M12" s="1121"/>
      <c r="N12" s="1122"/>
      <c r="O12" s="1133">
        <v>2</v>
      </c>
      <c r="P12" s="1029">
        <f>IF(N12="",0,IF(O12=1,N12,IF(O12=2,AVERAGE(M12:N12),IF(O12=3,AVERAGE(L12:N12),"0"))))</f>
        <v>0</v>
      </c>
    </row>
    <row r="13" spans="2:22" ht="17.25" customHeight="1" x14ac:dyDescent="0.25">
      <c r="B13" s="1676" t="s">
        <v>233</v>
      </c>
      <c r="C13" s="914" t="s">
        <v>234</v>
      </c>
      <c r="D13" s="1124"/>
      <c r="E13" s="1125"/>
      <c r="F13" s="1126"/>
      <c r="G13" s="1134">
        <v>2</v>
      </c>
      <c r="H13" s="1030">
        <f>IF(F13="",0,IF(G13=1,F13,IF(G13=2,AVERAGE(E13:F13),IF(G13=3,AVERAGE(D13:F13),""))))</f>
        <v>0</v>
      </c>
      <c r="J13" s="1676" t="s">
        <v>233</v>
      </c>
      <c r="K13" s="914" t="s">
        <v>234</v>
      </c>
      <c r="L13" s="1124"/>
      <c r="M13" s="1125"/>
      <c r="N13" s="1126"/>
      <c r="O13" s="1134">
        <v>2</v>
      </c>
      <c r="P13" s="1030">
        <f>IF(N13="",0,IF(O13=1,N13,IF(O13=2,AVERAGE(M13:N13),IF(O13=3,AVERAGE(L13:N13),""))))</f>
        <v>0</v>
      </c>
    </row>
    <row r="14" spans="2:22" ht="17.25" customHeight="1" thickBot="1" x14ac:dyDescent="0.3">
      <c r="B14" s="1677"/>
      <c r="C14" s="915" t="s">
        <v>235</v>
      </c>
      <c r="D14" s="1128"/>
      <c r="E14" s="1129"/>
      <c r="F14" s="1130"/>
      <c r="G14" s="1135">
        <v>2</v>
      </c>
      <c r="H14" s="1031">
        <f>IF(F14="",0,IF(G14=1,F14,IF(G14=2,AVERAGE(E14:F14),IF(G14=3,AVERAGE(D14:F14),""))))</f>
        <v>0</v>
      </c>
      <c r="J14" s="1677"/>
      <c r="K14" s="915" t="s">
        <v>235</v>
      </c>
      <c r="L14" s="1128"/>
      <c r="M14" s="1129"/>
      <c r="N14" s="1130"/>
      <c r="O14" s="1135">
        <v>2</v>
      </c>
      <c r="P14" s="1031">
        <f>IF(N14="",0,IF(O14=1,N14,IF(O14=2,AVERAGE(M14:N14),IF(O14=3,AVERAGE(L14:N14),""))))</f>
        <v>0</v>
      </c>
    </row>
    <row r="15" spans="2:22" ht="17.25" customHeight="1" x14ac:dyDescent="0.25">
      <c r="B15" s="1674" t="s">
        <v>236</v>
      </c>
      <c r="C15" s="912" t="s">
        <v>237</v>
      </c>
      <c r="D15" s="1116"/>
      <c r="E15" s="1117"/>
      <c r="F15" s="1118"/>
      <c r="G15" s="1132">
        <v>2</v>
      </c>
      <c r="H15" s="1028">
        <f>IF(F15="",0,IF(G15=1,F15,IF(G15=2,AVERAGE(E15:F15),IF(G15=3,AVERAGE(D15:F15),""))))</f>
        <v>0</v>
      </c>
      <c r="J15" s="1674" t="s">
        <v>236</v>
      </c>
      <c r="K15" s="912" t="s">
        <v>237</v>
      </c>
      <c r="L15" s="1116"/>
      <c r="M15" s="1117"/>
      <c r="N15" s="1118"/>
      <c r="O15" s="1132">
        <v>2</v>
      </c>
      <c r="P15" s="1028">
        <f>IF(N15="",0,IF(O15=1,N15,IF(O15=2,AVERAGE(M15:N15),IF(O15=3,AVERAGE(L15:N15),""))))</f>
        <v>0</v>
      </c>
    </row>
    <row r="16" spans="2:22" ht="17.25" customHeight="1" thickBot="1" x14ac:dyDescent="0.3">
      <c r="B16" s="1675"/>
      <c r="C16" s="913" t="s">
        <v>238</v>
      </c>
      <c r="D16" s="1120"/>
      <c r="E16" s="1121"/>
      <c r="F16" s="1122"/>
      <c r="G16" s="1133">
        <v>2</v>
      </c>
      <c r="H16" s="1029">
        <f>IF(F16="",0,IF(G16=1,F16,IF(G16=2,AVERAGE(E16:F16),IF(G16=3,AVERAGE(D16:F16),""))))</f>
        <v>0</v>
      </c>
      <c r="J16" s="1675"/>
      <c r="K16" s="913" t="s">
        <v>238</v>
      </c>
      <c r="L16" s="1120"/>
      <c r="M16" s="1121"/>
      <c r="N16" s="1122"/>
      <c r="O16" s="1133">
        <v>2</v>
      </c>
      <c r="P16" s="1029">
        <f>IF(N16="",0,IF(O16=1,N16,IF(O16=2,AVERAGE(M16:N16),IF(O16=3,AVERAGE(L16:N16),""))))</f>
        <v>0</v>
      </c>
    </row>
    <row r="17" spans="2:16" ht="17.25" customHeight="1" x14ac:dyDescent="0.25">
      <c r="B17" s="1686" t="s">
        <v>239</v>
      </c>
      <c r="C17" s="914" t="s">
        <v>240</v>
      </c>
      <c r="D17" s="1124"/>
      <c r="E17" s="1125"/>
      <c r="F17" s="1126"/>
      <c r="G17" s="1127">
        <v>0.5</v>
      </c>
      <c r="H17" s="1030">
        <f>IF(ISERROR(SUM(D17:F17)/COUNTA(D17:F17)),0,SUM(D17:F17)/COUNTA(D17:F17)*G17)</f>
        <v>0</v>
      </c>
      <c r="J17" s="1686" t="s">
        <v>239</v>
      </c>
      <c r="K17" s="914" t="s">
        <v>240</v>
      </c>
      <c r="L17" s="1124"/>
      <c r="M17" s="1125"/>
      <c r="N17" s="1126"/>
      <c r="O17" s="1127">
        <v>0.5</v>
      </c>
      <c r="P17" s="1030">
        <f>IF(ISERROR(SUM(L17:N17)/COUNTA(L17:N17)),0,SUM(L17:N17)/COUNTA(L17:N17)*O17)</f>
        <v>0</v>
      </c>
    </row>
    <row r="18" spans="2:16" ht="17.25" customHeight="1" thickBot="1" x14ac:dyDescent="0.3">
      <c r="B18" s="1686"/>
      <c r="C18" s="915" t="s">
        <v>241</v>
      </c>
      <c r="D18" s="1128"/>
      <c r="E18" s="1129"/>
      <c r="F18" s="1130"/>
      <c r="G18" s="1131">
        <v>0.5</v>
      </c>
      <c r="H18" s="1031" cm="1">
        <f t="array" ref="H18">IF(ISERROR(SUM(D18:F18)/COUNTA(D18:F18)),0,SUM((D18:F18)/COUNTA(D18:F18))*G18)</f>
        <v>0</v>
      </c>
      <c r="J18" s="1686"/>
      <c r="K18" s="915" t="s">
        <v>241</v>
      </c>
      <c r="L18" s="1128"/>
      <c r="M18" s="1129"/>
      <c r="N18" s="1130"/>
      <c r="O18" s="1131">
        <v>0.5</v>
      </c>
      <c r="P18" s="1031" cm="1">
        <f t="array" ref="P18">IF(ISERROR(SUM(L18:N18)/COUNTA(L18:N18)),0,SUM((L18:N18)/COUNTA(L18:N18))*O18)</f>
        <v>0</v>
      </c>
    </row>
    <row r="19" spans="2:16" ht="17.25" customHeight="1" thickBot="1" x14ac:dyDescent="0.3">
      <c r="B19" s="1672" t="s">
        <v>242</v>
      </c>
      <c r="C19" s="1673"/>
      <c r="D19" s="1144">
        <v>1</v>
      </c>
      <c r="E19" s="1145">
        <v>2</v>
      </c>
      <c r="F19" s="1146" t="s">
        <v>220</v>
      </c>
      <c r="G19" s="1033" t="s">
        <v>221</v>
      </c>
      <c r="H19" s="1027" t="s">
        <v>122</v>
      </c>
      <c r="J19" s="1672" t="s">
        <v>242</v>
      </c>
      <c r="K19" s="1673"/>
      <c r="L19" s="1144">
        <f>D19</f>
        <v>1</v>
      </c>
      <c r="M19" s="1145">
        <f>E19</f>
        <v>2</v>
      </c>
      <c r="N19" s="1146" t="str">
        <f>F19</f>
        <v>3 (latest)</v>
      </c>
      <c r="O19" s="1143" t="s">
        <v>221</v>
      </c>
      <c r="P19" s="1027" t="s">
        <v>122</v>
      </c>
    </row>
    <row r="20" spans="2:16" ht="17.25" customHeight="1" thickBot="1" x14ac:dyDescent="0.3">
      <c r="B20" s="918" t="s">
        <v>243</v>
      </c>
      <c r="C20" s="919" t="s">
        <v>244</v>
      </c>
      <c r="D20" s="1136"/>
      <c r="E20" s="1137"/>
      <c r="F20" s="1138"/>
      <c r="G20" s="1139">
        <v>1</v>
      </c>
      <c r="H20" s="1032">
        <f>IF(ISERROR(SUM(D20:F20)/COUNTA(D20:F20)),0,SUM(D20:F20)/COUNTA(D20:F20)*G20)</f>
        <v>0</v>
      </c>
      <c r="J20" s="918" t="s">
        <v>243</v>
      </c>
      <c r="K20" s="919" t="s">
        <v>244</v>
      </c>
      <c r="L20" s="1136"/>
      <c r="M20" s="1137"/>
      <c r="N20" s="1138"/>
      <c r="O20" s="1139">
        <v>1</v>
      </c>
      <c r="P20" s="1032">
        <f t="shared" ref="P20:P26" si="2">IF(ISERROR(SUM(L20:N20)/COUNTA(L20:N20)),0,SUM(L20:N20)/COUNTA(L20:N20)*O20)</f>
        <v>0</v>
      </c>
    </row>
    <row r="21" spans="2:16" ht="17.25" customHeight="1" x14ac:dyDescent="0.25">
      <c r="B21" s="1674" t="s">
        <v>245</v>
      </c>
      <c r="C21" s="912" t="s">
        <v>246</v>
      </c>
      <c r="D21" s="1116"/>
      <c r="E21" s="1117"/>
      <c r="F21" s="1118"/>
      <c r="G21" s="1119">
        <v>1</v>
      </c>
      <c r="H21" s="1028">
        <f>IF(ISERROR(SUM(D21:F21)/COUNTA(D21:F21)),0,SUM(D21:F21)/COUNTA(D21:F21)*G21)</f>
        <v>0</v>
      </c>
      <c r="J21" s="1674" t="s">
        <v>245</v>
      </c>
      <c r="K21" s="912" t="s">
        <v>246</v>
      </c>
      <c r="L21" s="1116"/>
      <c r="M21" s="1117"/>
      <c r="N21" s="1118"/>
      <c r="O21" s="1119">
        <v>1</v>
      </c>
      <c r="P21" s="1028">
        <f t="shared" si="2"/>
        <v>0</v>
      </c>
    </row>
    <row r="22" spans="2:16" ht="17.25" customHeight="1" thickBot="1" x14ac:dyDescent="0.3">
      <c r="B22" s="1675"/>
      <c r="C22" s="913" t="s">
        <v>247</v>
      </c>
      <c r="D22" s="1120"/>
      <c r="E22" s="1121"/>
      <c r="F22" s="1122"/>
      <c r="G22" s="1123">
        <v>1</v>
      </c>
      <c r="H22" s="1029">
        <f t="shared" ref="H22:H26" si="3">IF(ISERROR(SUM(D22:F22)/COUNTA(D22:F22)),0,SUM(D22:F22)/COUNTA(D22:F22)*G22)</f>
        <v>0</v>
      </c>
      <c r="J22" s="1675"/>
      <c r="K22" s="913" t="s">
        <v>247</v>
      </c>
      <c r="L22" s="1120"/>
      <c r="M22" s="1121"/>
      <c r="N22" s="1122"/>
      <c r="O22" s="1123">
        <v>1</v>
      </c>
      <c r="P22" s="1029">
        <f t="shared" si="2"/>
        <v>0</v>
      </c>
    </row>
    <row r="23" spans="2:16" ht="17.25" customHeight="1" x14ac:dyDescent="0.25">
      <c r="B23" s="1676" t="s">
        <v>248</v>
      </c>
      <c r="C23" s="914" t="s">
        <v>249</v>
      </c>
      <c r="D23" s="1124"/>
      <c r="E23" s="1125"/>
      <c r="F23" s="1126"/>
      <c r="G23" s="1127">
        <v>1</v>
      </c>
      <c r="H23" s="1030">
        <f>IF(ISERROR(SUM(D23:F23)/COUNTA(D23:F23)),0,SUM(D23:F23)/COUNTA(D23:F23)*G23)</f>
        <v>0</v>
      </c>
      <c r="J23" s="1676" t="s">
        <v>248</v>
      </c>
      <c r="K23" s="914" t="s">
        <v>249</v>
      </c>
      <c r="L23" s="1124"/>
      <c r="M23" s="1125"/>
      <c r="N23" s="1126"/>
      <c r="O23" s="1127">
        <v>1</v>
      </c>
      <c r="P23" s="1030">
        <f t="shared" si="2"/>
        <v>0</v>
      </c>
    </row>
    <row r="24" spans="2:16" ht="17.25" customHeight="1" thickBot="1" x14ac:dyDescent="0.3">
      <c r="B24" s="1677"/>
      <c r="C24" s="915" t="s">
        <v>250</v>
      </c>
      <c r="D24" s="1128"/>
      <c r="E24" s="1129"/>
      <c r="F24" s="1130"/>
      <c r="G24" s="1131">
        <v>1</v>
      </c>
      <c r="H24" s="1031">
        <f>IF(ISERROR(SUM(D24:F24)/COUNTA(D24:F24)),0,SUM(D24:F24)/COUNTA(D24:F24)*G24)</f>
        <v>0</v>
      </c>
      <c r="J24" s="1677"/>
      <c r="K24" s="915" t="s">
        <v>250</v>
      </c>
      <c r="L24" s="1128"/>
      <c r="M24" s="1129"/>
      <c r="N24" s="1130"/>
      <c r="O24" s="1131">
        <v>1</v>
      </c>
      <c r="P24" s="1031">
        <f t="shared" si="2"/>
        <v>0</v>
      </c>
    </row>
    <row r="25" spans="2:16" ht="17.25" customHeight="1" x14ac:dyDescent="0.25">
      <c r="B25" s="1674" t="s">
        <v>251</v>
      </c>
      <c r="C25" s="912" t="s">
        <v>252</v>
      </c>
      <c r="D25" s="1116"/>
      <c r="E25" s="1117"/>
      <c r="F25" s="1118"/>
      <c r="G25" s="1119">
        <v>1</v>
      </c>
      <c r="H25" s="1028">
        <f t="shared" si="3"/>
        <v>0</v>
      </c>
      <c r="J25" s="1674" t="s">
        <v>251</v>
      </c>
      <c r="K25" s="912" t="s">
        <v>252</v>
      </c>
      <c r="L25" s="1116"/>
      <c r="M25" s="1117"/>
      <c r="N25" s="1118"/>
      <c r="O25" s="1119">
        <v>1</v>
      </c>
      <c r="P25" s="1028">
        <f t="shared" si="2"/>
        <v>0</v>
      </c>
    </row>
    <row r="26" spans="2:16" ht="17.25" customHeight="1" thickBot="1" x14ac:dyDescent="0.3">
      <c r="B26" s="1675"/>
      <c r="C26" s="913" t="s">
        <v>253</v>
      </c>
      <c r="D26" s="1120"/>
      <c r="E26" s="1121"/>
      <c r="F26" s="1122"/>
      <c r="G26" s="1123">
        <v>1</v>
      </c>
      <c r="H26" s="1029">
        <f t="shared" si="3"/>
        <v>0</v>
      </c>
      <c r="J26" s="1675"/>
      <c r="K26" s="913" t="s">
        <v>253</v>
      </c>
      <c r="L26" s="1120"/>
      <c r="M26" s="1121"/>
      <c r="N26" s="1122"/>
      <c r="O26" s="1123">
        <v>1</v>
      </c>
      <c r="P26" s="1029">
        <f t="shared" si="2"/>
        <v>0</v>
      </c>
    </row>
    <row r="27" spans="2:16" ht="17.25" customHeight="1" thickBot="1" x14ac:dyDescent="0.3">
      <c r="B27" s="1672" t="s">
        <v>254</v>
      </c>
      <c r="C27" s="1673"/>
      <c r="D27" s="1144">
        <v>1</v>
      </c>
      <c r="E27" s="1145">
        <v>2</v>
      </c>
      <c r="F27" s="1142" t="str">
        <f>F5</f>
        <v>3 (latest)</v>
      </c>
      <c r="G27" s="1033" t="s">
        <v>221</v>
      </c>
      <c r="H27" s="1027" t="s">
        <v>122</v>
      </c>
      <c r="J27" s="1672" t="s">
        <v>254</v>
      </c>
      <c r="K27" s="1673"/>
      <c r="L27" s="1144">
        <f>D27</f>
        <v>1</v>
      </c>
      <c r="M27" s="1145">
        <f>E27</f>
        <v>2</v>
      </c>
      <c r="N27" s="1146" t="str">
        <f>F27</f>
        <v>3 (latest)</v>
      </c>
      <c r="O27" s="1143" t="s">
        <v>221</v>
      </c>
      <c r="P27" s="1027" t="s">
        <v>122</v>
      </c>
    </row>
    <row r="28" spans="2:16" ht="17.25" customHeight="1" x14ac:dyDescent="0.25">
      <c r="B28" s="920" t="s">
        <v>255</v>
      </c>
      <c r="C28" s="1023"/>
      <c r="D28" s="1124"/>
      <c r="E28" s="1125"/>
      <c r="F28" s="1126"/>
      <c r="G28" s="1127">
        <v>1</v>
      </c>
      <c r="H28" s="1030">
        <f>IF(ISERROR(SUM(D28:F28)/COUNTA(D28:F28)),0,SUM(D28:F28)/COUNTA(D28:F28)*G28)</f>
        <v>0</v>
      </c>
      <c r="J28" s="920" t="s">
        <v>255</v>
      </c>
      <c r="K28" s="1023"/>
      <c r="L28" s="1124"/>
      <c r="M28" s="1171"/>
      <c r="N28" s="1126"/>
      <c r="O28" s="1127">
        <v>1</v>
      </c>
      <c r="P28" s="1030">
        <f>IF(ISERROR(SUM(L28:N28)/COUNTA(L28:N28)),0,SUM(L28:N28)/COUNTA(L28:N28)*O28)</f>
        <v>0</v>
      </c>
    </row>
    <row r="29" spans="2:16" ht="17.25" customHeight="1" thickBot="1" x14ac:dyDescent="0.3">
      <c r="B29" s="921" t="s">
        <v>256</v>
      </c>
      <c r="C29" s="1024"/>
      <c r="D29" s="1120"/>
      <c r="E29" s="1121"/>
      <c r="F29" s="1122"/>
      <c r="G29" s="1123">
        <v>1</v>
      </c>
      <c r="H29" s="1029">
        <f>IF(ISERROR(SUM(D29:F29)/COUNTA(D29:F29)),0,SUM(D29:F29)/COUNTA(D29:F29)*G29)</f>
        <v>0</v>
      </c>
      <c r="J29" s="921" t="s">
        <v>256</v>
      </c>
      <c r="K29" s="1024"/>
      <c r="L29" s="1120"/>
      <c r="M29" s="1121"/>
      <c r="N29" s="1122"/>
      <c r="O29" s="1123">
        <v>1</v>
      </c>
      <c r="P29" s="1029">
        <f>IF(ISERROR(SUM(L29:N29)/COUNTA(L29:N29)),0,SUM(L29:N29)/COUNTA(L29:N29)*O29)</f>
        <v>0</v>
      </c>
    </row>
    <row r="30" spans="2:16" ht="17.25" customHeight="1" x14ac:dyDescent="0.25">
      <c r="B30" s="1678" t="s">
        <v>257</v>
      </c>
      <c r="C30" s="1679"/>
      <c r="D30" s="1679"/>
      <c r="E30" s="1679"/>
      <c r="F30" s="1679"/>
      <c r="G30" s="1680"/>
      <c r="H30" s="916">
        <f>SUM((H6*12),(H8*12),H11,H13,H15,H17,(H20*12),(H21*12),(H23*12),(H25*12),(H28*12),(H29*12))</f>
        <v>0</v>
      </c>
      <c r="J30" s="1678" t="s">
        <v>258</v>
      </c>
      <c r="K30" s="1679"/>
      <c r="L30" s="1679"/>
      <c r="M30" s="1679"/>
      <c r="N30" s="1679"/>
      <c r="O30" s="1680"/>
      <c r="P30" s="916">
        <f>SUM((P6*12),(P8*12),P11,P13,P15,P17,(P20*12),(P21*12),(P23*12),(P25*12),(P28*12),(P29*12))</f>
        <v>0</v>
      </c>
    </row>
    <row r="31" spans="2:16" ht="17.25" customHeight="1" thickBot="1" x14ac:dyDescent="0.3">
      <c r="B31" s="1669" t="s">
        <v>259</v>
      </c>
      <c r="C31" s="1670"/>
      <c r="D31" s="1670"/>
      <c r="E31" s="1670"/>
      <c r="F31" s="1670"/>
      <c r="G31" s="1671"/>
      <c r="H31" s="917">
        <f>SUM((H7*12),(H9*12),H12,H14,H16,H18,(H20*12),(H22*12),(H24*12),(H26*12),(H28*12),(H29*12))</f>
        <v>0</v>
      </c>
      <c r="J31" s="1669" t="s">
        <v>260</v>
      </c>
      <c r="K31" s="1670"/>
      <c r="L31" s="1670"/>
      <c r="M31" s="1670"/>
      <c r="N31" s="1670"/>
      <c r="O31" s="1671"/>
      <c r="P31" s="917">
        <f>SUM((P7*12),(P9*12),P12,P14,P16,P18,(P20*12),(P22*12),(P24*12),(P26*12),(P28*12),(P29*12))</f>
        <v>0</v>
      </c>
    </row>
    <row r="32" spans="2:16" ht="12" customHeight="1" thickBot="1" x14ac:dyDescent="0.3"/>
    <row r="33" spans="2:16" ht="17.25" customHeight="1" x14ac:dyDescent="0.25">
      <c r="B33" s="1656" t="s">
        <v>261</v>
      </c>
      <c r="C33" s="1667"/>
      <c r="D33" s="1656" t="s">
        <v>262</v>
      </c>
      <c r="E33" s="1661"/>
      <c r="F33" s="1112" t="s">
        <v>263</v>
      </c>
      <c r="G33" s="1661" t="s">
        <v>264</v>
      </c>
      <c r="H33" s="1657"/>
      <c r="J33" s="1656" t="s">
        <v>261</v>
      </c>
      <c r="K33" s="1657"/>
      <c r="L33" s="1660" t="s">
        <v>262</v>
      </c>
      <c r="M33" s="1661"/>
      <c r="N33" s="1112" t="s">
        <v>263</v>
      </c>
      <c r="O33" s="1661" t="s">
        <v>264</v>
      </c>
      <c r="P33" s="1657"/>
    </row>
    <row r="34" spans="2:16" ht="17.25" customHeight="1" thickBot="1" x14ac:dyDescent="0.3">
      <c r="B34" s="1658"/>
      <c r="C34" s="1668"/>
      <c r="D34" s="1666"/>
      <c r="E34" s="1663"/>
      <c r="F34" s="1141"/>
      <c r="G34" s="1664" t="str">
        <f>IF(D34="","",D34/F34)</f>
        <v/>
      </c>
      <c r="H34" s="1665"/>
      <c r="J34" s="1658"/>
      <c r="K34" s="1659"/>
      <c r="L34" s="1662"/>
      <c r="M34" s="1663"/>
      <c r="N34" s="1141"/>
      <c r="O34" s="1664" t="str">
        <f>IF(L34="","",L34/N34)</f>
        <v/>
      </c>
      <c r="P34" s="1665"/>
    </row>
    <row r="35" spans="2:16" ht="12.75" customHeight="1" thickBot="1" x14ac:dyDescent="0.3"/>
    <row r="36" spans="2:16" ht="17.25" customHeight="1" thickBot="1" x14ac:dyDescent="0.3">
      <c r="B36" s="1681" t="s">
        <v>22</v>
      </c>
      <c r="C36" s="1682"/>
      <c r="D36" s="1682"/>
      <c r="E36" s="1682"/>
      <c r="F36" s="1682"/>
      <c r="G36" s="1682"/>
      <c r="H36" s="1683"/>
      <c r="J36" s="1681" t="s">
        <v>29</v>
      </c>
      <c r="K36" s="1682"/>
      <c r="L36" s="1682"/>
      <c r="M36" s="1682"/>
      <c r="N36" s="1682"/>
      <c r="O36" s="1682"/>
      <c r="P36" s="1683"/>
    </row>
    <row r="37" spans="2:16" ht="17.25" customHeight="1" thickBot="1" x14ac:dyDescent="0.3">
      <c r="B37" s="1672" t="s">
        <v>219</v>
      </c>
      <c r="C37" s="1673"/>
      <c r="D37" s="1144">
        <v>1</v>
      </c>
      <c r="E37" s="1145">
        <v>2</v>
      </c>
      <c r="F37" s="1146" t="s">
        <v>220</v>
      </c>
      <c r="G37" s="1143" t="s">
        <v>221</v>
      </c>
      <c r="H37" s="911" t="s">
        <v>122</v>
      </c>
      <c r="J37" s="1672" t="s">
        <v>219</v>
      </c>
      <c r="K37" s="1673"/>
      <c r="L37" s="1144">
        <v>1</v>
      </c>
      <c r="M37" s="1145">
        <v>2</v>
      </c>
      <c r="N37" s="1146" t="s">
        <v>220</v>
      </c>
      <c r="O37" s="1143" t="s">
        <v>221</v>
      </c>
      <c r="P37" s="911" t="s">
        <v>122</v>
      </c>
    </row>
    <row r="38" spans="2:16" ht="17.25" customHeight="1" x14ac:dyDescent="0.25">
      <c r="B38" s="1674" t="s">
        <v>222</v>
      </c>
      <c r="C38" s="912" t="s">
        <v>223</v>
      </c>
      <c r="D38" s="1116"/>
      <c r="E38" s="1117"/>
      <c r="F38" s="1118"/>
      <c r="G38" s="1119">
        <v>1</v>
      </c>
      <c r="H38" s="1025">
        <f>IF(ISERROR(AVERAGE(D38:F38)),0,AVERAGE(D38:F38))</f>
        <v>0</v>
      </c>
      <c r="J38" s="1674" t="s">
        <v>222</v>
      </c>
      <c r="K38" s="912" t="s">
        <v>223</v>
      </c>
      <c r="L38" s="1116"/>
      <c r="M38" s="1117"/>
      <c r="N38" s="1118"/>
      <c r="O38" s="1119">
        <v>1</v>
      </c>
      <c r="P38" s="1025">
        <f>IF(ISERROR(AVERAGE(L38:N38)),0,AVERAGE(L38:N38))</f>
        <v>0</v>
      </c>
    </row>
    <row r="39" spans="2:16" ht="17.25" customHeight="1" thickBot="1" x14ac:dyDescent="0.3">
      <c r="B39" s="1675"/>
      <c r="C39" s="913" t="s">
        <v>224</v>
      </c>
      <c r="D39" s="1120"/>
      <c r="E39" s="1121"/>
      <c r="F39" s="1122"/>
      <c r="G39" s="1123">
        <v>1</v>
      </c>
      <c r="H39" s="1026">
        <f>IF(ISERROR(AVERAGE(D39:F39)),0,AVERAGE(D39:F39))</f>
        <v>0</v>
      </c>
      <c r="J39" s="1675"/>
      <c r="K39" s="913" t="s">
        <v>224</v>
      </c>
      <c r="L39" s="1120"/>
      <c r="M39" s="1121"/>
      <c r="N39" s="1122"/>
      <c r="O39" s="1123">
        <v>1</v>
      </c>
      <c r="P39" s="1026">
        <f>IF(ISERROR(AVERAGE(L39:N39)),0,AVERAGE(L39:N39))</f>
        <v>0</v>
      </c>
    </row>
    <row r="40" spans="2:16" ht="17.25" customHeight="1" x14ac:dyDescent="0.25">
      <c r="B40" s="1676" t="s">
        <v>225</v>
      </c>
      <c r="C40" s="914" t="s">
        <v>226</v>
      </c>
      <c r="D40" s="1124"/>
      <c r="E40" s="1125"/>
      <c r="F40" s="1126"/>
      <c r="G40" s="1127">
        <v>0.5</v>
      </c>
      <c r="H40" s="1025">
        <f>IF(ISERROR(AVERAGE(D40:F40)),0,AVERAGE(D40:F40))*G40</f>
        <v>0</v>
      </c>
      <c r="J40" s="1676" t="s">
        <v>225</v>
      </c>
      <c r="K40" s="914" t="s">
        <v>226</v>
      </c>
      <c r="L40" s="1124"/>
      <c r="M40" s="1125"/>
      <c r="N40" s="1126"/>
      <c r="O40" s="1127">
        <v>0.5</v>
      </c>
      <c r="P40" s="1025">
        <f>IF(ISERROR(AVERAGE(L40:N40)),0,AVERAGE(L40:N40))*O40</f>
        <v>0</v>
      </c>
    </row>
    <row r="41" spans="2:16" ht="17.25" customHeight="1" thickBot="1" x14ac:dyDescent="0.3">
      <c r="B41" s="1677"/>
      <c r="C41" s="915" t="s">
        <v>227</v>
      </c>
      <c r="D41" s="1128"/>
      <c r="E41" s="1129"/>
      <c r="F41" s="1130"/>
      <c r="G41" s="1131">
        <v>0.5</v>
      </c>
      <c r="H41" s="1026">
        <f>IF(ISERROR(AVERAGE(D41:F41)),0,AVERAGE(D41:F41))*G41</f>
        <v>0</v>
      </c>
      <c r="J41" s="1677"/>
      <c r="K41" s="915" t="s">
        <v>227</v>
      </c>
      <c r="L41" s="1128"/>
      <c r="M41" s="1129"/>
      <c r="N41" s="1130"/>
      <c r="O41" s="1131">
        <v>0.5</v>
      </c>
      <c r="P41" s="1026">
        <f>IF(ISERROR(AVERAGE(L41:N41)),0,AVERAGE(L41:N41))*O41</f>
        <v>0</v>
      </c>
    </row>
    <row r="42" spans="2:16" ht="17.25" customHeight="1" thickBot="1" x14ac:dyDescent="0.3">
      <c r="B42" s="1684" t="s">
        <v>228</v>
      </c>
      <c r="C42" s="1685"/>
      <c r="D42" s="1144">
        <v>1</v>
      </c>
      <c r="E42" s="1145">
        <v>2</v>
      </c>
      <c r="F42" s="1146" t="s">
        <v>220</v>
      </c>
      <c r="G42" s="1143" t="s">
        <v>229</v>
      </c>
      <c r="H42" s="1027" t="s">
        <v>122</v>
      </c>
      <c r="J42" s="1684" t="s">
        <v>228</v>
      </c>
      <c r="K42" s="1685"/>
      <c r="L42" s="1144">
        <v>1</v>
      </c>
      <c r="M42" s="1145">
        <v>2</v>
      </c>
      <c r="N42" s="1146" t="s">
        <v>220</v>
      </c>
      <c r="O42" s="1143" t="s">
        <v>229</v>
      </c>
      <c r="P42" s="1027" t="s">
        <v>122</v>
      </c>
    </row>
    <row r="43" spans="2:16" ht="17.25" customHeight="1" x14ac:dyDescent="0.25">
      <c r="B43" s="1674" t="s">
        <v>230</v>
      </c>
      <c r="C43" s="912" t="s">
        <v>231</v>
      </c>
      <c r="D43" s="1116"/>
      <c r="E43" s="1117"/>
      <c r="F43" s="1118"/>
      <c r="G43" s="1132">
        <v>2</v>
      </c>
      <c r="H43" s="1028">
        <f>IF(F43="",0,IF(G43=1,F43,IF(G43=2,AVERAGE(E43:F43),IF(G43=3,AVERAGE(D43:F43),""))))</f>
        <v>0</v>
      </c>
      <c r="J43" s="1674" t="s">
        <v>230</v>
      </c>
      <c r="K43" s="912" t="s">
        <v>231</v>
      </c>
      <c r="L43" s="1116"/>
      <c r="M43" s="1117"/>
      <c r="N43" s="1118"/>
      <c r="O43" s="1132">
        <v>2</v>
      </c>
      <c r="P43" s="1028">
        <f>IF(N43="",0,IF(O43=1,N43,IF(O43=2,AVERAGE(M43:N43),IF(O43=3,AVERAGE(L43:N43),""))))</f>
        <v>0</v>
      </c>
    </row>
    <row r="44" spans="2:16" ht="17.25" customHeight="1" thickBot="1" x14ac:dyDescent="0.3">
      <c r="B44" s="1675"/>
      <c r="C44" s="913" t="s">
        <v>232</v>
      </c>
      <c r="D44" s="1120"/>
      <c r="E44" s="1121"/>
      <c r="F44" s="1122"/>
      <c r="G44" s="1133">
        <v>2</v>
      </c>
      <c r="H44" s="1029">
        <f>IF(F44="",0,IF(G44=1,F44,IF(G44=2,AVERAGE(E44:F44),IF(G44=3,AVERAGE(D44:F44),"0"))))</f>
        <v>0</v>
      </c>
      <c r="J44" s="1675"/>
      <c r="K44" s="913" t="s">
        <v>232</v>
      </c>
      <c r="L44" s="1120"/>
      <c r="M44" s="1121"/>
      <c r="N44" s="1122"/>
      <c r="O44" s="1133">
        <v>2</v>
      </c>
      <c r="P44" s="1029">
        <f>IF(N44="",0,IF(O44=1,N44,IF(O44=2,AVERAGE(M44:N44),IF(O44=3,AVERAGE(L44:N44),"0"))))</f>
        <v>0</v>
      </c>
    </row>
    <row r="45" spans="2:16" ht="17.25" customHeight="1" x14ac:dyDescent="0.25">
      <c r="B45" s="1676" t="s">
        <v>233</v>
      </c>
      <c r="C45" s="914" t="s">
        <v>234</v>
      </c>
      <c r="D45" s="1124"/>
      <c r="E45" s="1125"/>
      <c r="F45" s="1126"/>
      <c r="G45" s="1134">
        <v>2</v>
      </c>
      <c r="H45" s="1030">
        <f>IF(F45="",0,IF(G45=1,F45,IF(G45=2,AVERAGE(E45:F45),IF(G45=3,AVERAGE(D45:F45),""))))</f>
        <v>0</v>
      </c>
      <c r="J45" s="1676" t="s">
        <v>233</v>
      </c>
      <c r="K45" s="914" t="s">
        <v>234</v>
      </c>
      <c r="L45" s="1124"/>
      <c r="M45" s="1125"/>
      <c r="N45" s="1126"/>
      <c r="O45" s="1134">
        <v>2</v>
      </c>
      <c r="P45" s="1030">
        <f>IF(N45="",0,IF(O45=1,N45,IF(O45=2,AVERAGE(M45:N45),IF(O45=3,AVERAGE(L45:N45),""))))</f>
        <v>0</v>
      </c>
    </row>
    <row r="46" spans="2:16" ht="17.25" customHeight="1" thickBot="1" x14ac:dyDescent="0.3">
      <c r="B46" s="1677"/>
      <c r="C46" s="915" t="s">
        <v>235</v>
      </c>
      <c r="D46" s="1128"/>
      <c r="E46" s="1129"/>
      <c r="F46" s="1130"/>
      <c r="G46" s="1135">
        <v>2</v>
      </c>
      <c r="H46" s="1031">
        <f>IF(F46="",0,IF(G46=1,F46,IF(G46=2,AVERAGE(E46:F46),IF(G46=3,AVERAGE(D46:F46),""))))</f>
        <v>0</v>
      </c>
      <c r="J46" s="1677"/>
      <c r="K46" s="915" t="s">
        <v>235</v>
      </c>
      <c r="L46" s="1128"/>
      <c r="M46" s="1129"/>
      <c r="N46" s="1130"/>
      <c r="O46" s="1135">
        <v>2</v>
      </c>
      <c r="P46" s="1031">
        <f>IF(N46="",0,IF(O46=1,N46,IF(O46=2,AVERAGE(M46:N46),IF(O46=3,AVERAGE(L46:N46),""))))</f>
        <v>0</v>
      </c>
    </row>
    <row r="47" spans="2:16" ht="17.25" customHeight="1" x14ac:dyDescent="0.25">
      <c r="B47" s="1674" t="s">
        <v>236</v>
      </c>
      <c r="C47" s="912" t="s">
        <v>237</v>
      </c>
      <c r="D47" s="1116"/>
      <c r="E47" s="1117"/>
      <c r="F47" s="1118"/>
      <c r="G47" s="1132">
        <v>2</v>
      </c>
      <c r="H47" s="1028">
        <f>IF(F47="",0,IF(G47=1,F47,IF(G47=2,AVERAGE(E47:F47),IF(G47=3,AVERAGE(D47:F47),""))))</f>
        <v>0</v>
      </c>
      <c r="J47" s="1674" t="s">
        <v>236</v>
      </c>
      <c r="K47" s="912" t="s">
        <v>237</v>
      </c>
      <c r="L47" s="1116"/>
      <c r="M47" s="1117"/>
      <c r="N47" s="1118"/>
      <c r="O47" s="1132">
        <v>2</v>
      </c>
      <c r="P47" s="1028">
        <f>IF(N47="",0,IF(O47=1,N47,IF(O47=2,AVERAGE(M47:N47),IF(O47=3,AVERAGE(L47:N47),""))))</f>
        <v>0</v>
      </c>
    </row>
    <row r="48" spans="2:16" ht="17.25" customHeight="1" thickBot="1" x14ac:dyDescent="0.3">
      <c r="B48" s="1675"/>
      <c r="C48" s="913" t="s">
        <v>238</v>
      </c>
      <c r="D48" s="1120"/>
      <c r="E48" s="1121"/>
      <c r="F48" s="1122"/>
      <c r="G48" s="1133">
        <v>2</v>
      </c>
      <c r="H48" s="1029">
        <f>IF(F48="",0,IF(G48=1,F48,IF(G48=2,AVERAGE(E48:F48),IF(G48=3,AVERAGE(D48:F48),""))))</f>
        <v>0</v>
      </c>
      <c r="J48" s="1675"/>
      <c r="K48" s="913" t="s">
        <v>238</v>
      </c>
      <c r="L48" s="1120"/>
      <c r="M48" s="1121"/>
      <c r="N48" s="1122"/>
      <c r="O48" s="1133">
        <v>2</v>
      </c>
      <c r="P48" s="1029">
        <f>IF(N48="",0,IF(O48=1,N48,IF(O48=2,AVERAGE(M48:N48),IF(O48=3,AVERAGE(L48:N48),""))))</f>
        <v>0</v>
      </c>
    </row>
    <row r="49" spans="2:16" ht="17.25" customHeight="1" x14ac:dyDescent="0.25">
      <c r="B49" s="1686" t="s">
        <v>239</v>
      </c>
      <c r="C49" s="914" t="s">
        <v>240</v>
      </c>
      <c r="D49" s="1124"/>
      <c r="E49" s="1125"/>
      <c r="F49" s="1126"/>
      <c r="G49" s="1127">
        <v>0.5</v>
      </c>
      <c r="H49" s="1030">
        <f>IF(ISERROR(SUM(D49:F49)/COUNTA(D49:F49)),0,SUM(D49:F49)/COUNTA(D49:F49)*G49)</f>
        <v>0</v>
      </c>
      <c r="J49" s="1686" t="s">
        <v>239</v>
      </c>
      <c r="K49" s="914" t="s">
        <v>240</v>
      </c>
      <c r="L49" s="1124"/>
      <c r="M49" s="1125"/>
      <c r="N49" s="1126"/>
      <c r="O49" s="1127">
        <v>0.5</v>
      </c>
      <c r="P49" s="1030">
        <f>IF(ISERROR(SUM(L49:N49)/COUNTA(L49:N49)),0,SUM(L49:N49)/COUNTA(L49:N49)*O49)</f>
        <v>0</v>
      </c>
    </row>
    <row r="50" spans="2:16" ht="17.25" customHeight="1" thickBot="1" x14ac:dyDescent="0.3">
      <c r="B50" s="1686"/>
      <c r="C50" s="915" t="s">
        <v>241</v>
      </c>
      <c r="D50" s="1128"/>
      <c r="E50" s="1129"/>
      <c r="F50" s="1130"/>
      <c r="G50" s="1131">
        <v>0.5</v>
      </c>
      <c r="H50" s="1031" cm="1">
        <f t="array" ref="H50">IF(ISERROR(SUM(D50:F50)/COUNTA(D50:F50)),0,SUM((D50:F50)/COUNTA(D50:F50))*G50)</f>
        <v>0</v>
      </c>
      <c r="J50" s="1686"/>
      <c r="K50" s="915" t="s">
        <v>241</v>
      </c>
      <c r="L50" s="1128"/>
      <c r="M50" s="1129"/>
      <c r="N50" s="1130"/>
      <c r="O50" s="1131">
        <v>0.5</v>
      </c>
      <c r="P50" s="1031" cm="1">
        <f t="array" ref="P50">IF(ISERROR(SUM(L50:N50)/COUNTA(L50:N50)),0,SUM((L50:N50)/COUNTA(L50:N50))*O50)</f>
        <v>0</v>
      </c>
    </row>
    <row r="51" spans="2:16" ht="17.25" customHeight="1" thickBot="1" x14ac:dyDescent="0.3">
      <c r="B51" s="1672" t="s">
        <v>242</v>
      </c>
      <c r="C51" s="1673"/>
      <c r="D51" s="1144">
        <f>D19</f>
        <v>1</v>
      </c>
      <c r="E51" s="1145">
        <f>E19</f>
        <v>2</v>
      </c>
      <c r="F51" s="1142" t="str">
        <f>F19</f>
        <v>3 (latest)</v>
      </c>
      <c r="G51" s="1143" t="s">
        <v>221</v>
      </c>
      <c r="H51" s="1027" t="s">
        <v>122</v>
      </c>
      <c r="J51" s="1672" t="s">
        <v>242</v>
      </c>
      <c r="K51" s="1673"/>
      <c r="L51" s="1144">
        <v>1</v>
      </c>
      <c r="M51" s="1145">
        <v>2</v>
      </c>
      <c r="N51" s="1146" t="s">
        <v>220</v>
      </c>
      <c r="O51" s="1143" t="s">
        <v>221</v>
      </c>
      <c r="P51" s="1027" t="s">
        <v>122</v>
      </c>
    </row>
    <row r="52" spans="2:16" ht="17.25" customHeight="1" thickBot="1" x14ac:dyDescent="0.3">
      <c r="B52" s="918" t="s">
        <v>243</v>
      </c>
      <c r="C52" s="919" t="s">
        <v>244</v>
      </c>
      <c r="D52" s="1136"/>
      <c r="E52" s="1137"/>
      <c r="F52" s="1138"/>
      <c r="G52" s="1139">
        <v>1</v>
      </c>
      <c r="H52" s="1032">
        <f t="shared" ref="H52:H58" si="4">IF(ISERROR(SUM(D52:F52)/COUNTA(D52:F52)),0,SUM(D52:F52)/COUNTA(D52:F52)*G52)</f>
        <v>0</v>
      </c>
      <c r="J52" s="918" t="s">
        <v>243</v>
      </c>
      <c r="K52" s="919" t="s">
        <v>244</v>
      </c>
      <c r="L52" s="1136"/>
      <c r="M52" s="1117"/>
      <c r="N52" s="1138"/>
      <c r="O52" s="1139">
        <v>1</v>
      </c>
      <c r="P52" s="1032">
        <f t="shared" ref="P52:P58" si="5">IF(ISERROR(SUM(L52:N52)/COUNTA(L52:N52)),0,SUM(L52:N52)/COUNTA(L52:N52)*O52)</f>
        <v>0</v>
      </c>
    </row>
    <row r="53" spans="2:16" ht="17.25" customHeight="1" x14ac:dyDescent="0.25">
      <c r="B53" s="1674" t="s">
        <v>245</v>
      </c>
      <c r="C53" s="912" t="s">
        <v>246</v>
      </c>
      <c r="D53" s="1116"/>
      <c r="E53" s="1117"/>
      <c r="F53" s="1118"/>
      <c r="G53" s="1119">
        <v>1</v>
      </c>
      <c r="H53" s="1028">
        <f t="shared" si="4"/>
        <v>0</v>
      </c>
      <c r="J53" s="1674" t="s">
        <v>245</v>
      </c>
      <c r="K53" s="912" t="s">
        <v>246</v>
      </c>
      <c r="L53" s="1116"/>
      <c r="M53" s="1117"/>
      <c r="N53" s="1118"/>
      <c r="O53" s="1119">
        <v>1</v>
      </c>
      <c r="P53" s="1028">
        <f t="shared" si="5"/>
        <v>0</v>
      </c>
    </row>
    <row r="54" spans="2:16" ht="17.25" customHeight="1" thickBot="1" x14ac:dyDescent="0.3">
      <c r="B54" s="1675"/>
      <c r="C54" s="913" t="s">
        <v>247</v>
      </c>
      <c r="D54" s="1120"/>
      <c r="E54" s="1121"/>
      <c r="F54" s="1122"/>
      <c r="G54" s="1123">
        <v>1</v>
      </c>
      <c r="H54" s="1029">
        <f t="shared" si="4"/>
        <v>0</v>
      </c>
      <c r="J54" s="1675"/>
      <c r="K54" s="913" t="s">
        <v>247</v>
      </c>
      <c r="L54" s="1120"/>
      <c r="M54" s="1121"/>
      <c r="N54" s="1122"/>
      <c r="O54" s="1123">
        <v>1</v>
      </c>
      <c r="P54" s="1029">
        <f t="shared" si="5"/>
        <v>0</v>
      </c>
    </row>
    <row r="55" spans="2:16" ht="17.25" customHeight="1" x14ac:dyDescent="0.25">
      <c r="B55" s="1676" t="s">
        <v>248</v>
      </c>
      <c r="C55" s="914" t="s">
        <v>249</v>
      </c>
      <c r="D55" s="1124"/>
      <c r="E55" s="1125"/>
      <c r="F55" s="1126"/>
      <c r="G55" s="1127">
        <v>1</v>
      </c>
      <c r="H55" s="1030">
        <f t="shared" si="4"/>
        <v>0</v>
      </c>
      <c r="J55" s="1676" t="s">
        <v>248</v>
      </c>
      <c r="K55" s="914" t="s">
        <v>249</v>
      </c>
      <c r="L55" s="1124"/>
      <c r="M55" s="1125"/>
      <c r="N55" s="1126"/>
      <c r="O55" s="1127">
        <v>1</v>
      </c>
      <c r="P55" s="1030">
        <f t="shared" si="5"/>
        <v>0</v>
      </c>
    </row>
    <row r="56" spans="2:16" ht="17.25" customHeight="1" thickBot="1" x14ac:dyDescent="0.3">
      <c r="B56" s="1677"/>
      <c r="C56" s="915" t="s">
        <v>250</v>
      </c>
      <c r="D56" s="1128"/>
      <c r="E56" s="1129"/>
      <c r="F56" s="1130"/>
      <c r="G56" s="1131">
        <v>1</v>
      </c>
      <c r="H56" s="1031">
        <f t="shared" si="4"/>
        <v>0</v>
      </c>
      <c r="J56" s="1677"/>
      <c r="K56" s="915" t="s">
        <v>250</v>
      </c>
      <c r="L56" s="1128"/>
      <c r="M56" s="1129"/>
      <c r="N56" s="1130"/>
      <c r="O56" s="1131">
        <v>1</v>
      </c>
      <c r="P56" s="1031">
        <f t="shared" si="5"/>
        <v>0</v>
      </c>
    </row>
    <row r="57" spans="2:16" ht="17.25" customHeight="1" x14ac:dyDescent="0.25">
      <c r="B57" s="1674" t="s">
        <v>251</v>
      </c>
      <c r="C57" s="912" t="s">
        <v>252</v>
      </c>
      <c r="D57" s="1116"/>
      <c r="E57" s="1117"/>
      <c r="F57" s="1118"/>
      <c r="G57" s="1119">
        <v>1</v>
      </c>
      <c r="H57" s="1028">
        <f t="shared" si="4"/>
        <v>0</v>
      </c>
      <c r="J57" s="1674" t="s">
        <v>251</v>
      </c>
      <c r="K57" s="912" t="s">
        <v>252</v>
      </c>
      <c r="L57" s="1116"/>
      <c r="M57" s="1147"/>
      <c r="N57" s="1118"/>
      <c r="O57" s="1119">
        <v>1</v>
      </c>
      <c r="P57" s="1028">
        <f t="shared" si="5"/>
        <v>0</v>
      </c>
    </row>
    <row r="58" spans="2:16" ht="17.25" customHeight="1" thickBot="1" x14ac:dyDescent="0.3">
      <c r="B58" s="1675"/>
      <c r="C58" s="913" t="s">
        <v>253</v>
      </c>
      <c r="D58" s="1120"/>
      <c r="E58" s="1121"/>
      <c r="F58" s="1122"/>
      <c r="G58" s="1123">
        <v>1</v>
      </c>
      <c r="H58" s="1029">
        <f t="shared" si="4"/>
        <v>0</v>
      </c>
      <c r="J58" s="1675"/>
      <c r="K58" s="913" t="s">
        <v>253</v>
      </c>
      <c r="L58" s="1120"/>
      <c r="M58" s="1121"/>
      <c r="N58" s="1122"/>
      <c r="O58" s="1123">
        <v>1</v>
      </c>
      <c r="P58" s="1029">
        <f t="shared" si="5"/>
        <v>0</v>
      </c>
    </row>
    <row r="59" spans="2:16" ht="17.25" customHeight="1" thickBot="1" x14ac:dyDescent="0.3">
      <c r="B59" s="1672" t="s">
        <v>254</v>
      </c>
      <c r="C59" s="1673"/>
      <c r="D59" s="1144">
        <f>D27</f>
        <v>1</v>
      </c>
      <c r="E59" s="1145">
        <f>E27</f>
        <v>2</v>
      </c>
      <c r="F59" s="1146" t="str">
        <f>F27</f>
        <v>3 (latest)</v>
      </c>
      <c r="G59" s="1143" t="s">
        <v>221</v>
      </c>
      <c r="H59" s="1027" t="s">
        <v>122</v>
      </c>
      <c r="J59" s="1672" t="s">
        <v>254</v>
      </c>
      <c r="K59" s="1673"/>
      <c r="L59" s="1144">
        <v>1</v>
      </c>
      <c r="M59" s="1145">
        <v>2</v>
      </c>
      <c r="N59" s="1146" t="s">
        <v>220</v>
      </c>
      <c r="O59" s="1143" t="s">
        <v>221</v>
      </c>
      <c r="P59" s="1027" t="s">
        <v>122</v>
      </c>
    </row>
    <row r="60" spans="2:16" ht="17.25" customHeight="1" x14ac:dyDescent="0.25">
      <c r="B60" s="920" t="s">
        <v>255</v>
      </c>
      <c r="C60" s="1023"/>
      <c r="D60" s="1124"/>
      <c r="E60" s="1125"/>
      <c r="F60" s="1126"/>
      <c r="G60" s="1127">
        <v>1</v>
      </c>
      <c r="H60" s="1030">
        <f>IF(ISERROR(SUM(D60:F60)/COUNTA(D60:F60)),0,SUM(D60:F60)/COUNTA(D60:F60)*G60)</f>
        <v>0</v>
      </c>
      <c r="J60" s="920" t="s">
        <v>255</v>
      </c>
      <c r="K60" s="1023"/>
      <c r="L60" s="1124"/>
      <c r="M60" s="1125"/>
      <c r="N60" s="1126"/>
      <c r="O60" s="1127">
        <v>1</v>
      </c>
      <c r="P60" s="1030">
        <f>IF(ISERROR(SUM(L60:N60)/COUNTA(L60:N60)),0,SUM(L60:N60)/COUNTA(L60:N60)*O60)</f>
        <v>0</v>
      </c>
    </row>
    <row r="61" spans="2:16" ht="17.25" customHeight="1" thickBot="1" x14ac:dyDescent="0.3">
      <c r="B61" s="921" t="s">
        <v>256</v>
      </c>
      <c r="C61" s="1024"/>
      <c r="D61" s="1120"/>
      <c r="E61" s="1121"/>
      <c r="F61" s="1122"/>
      <c r="G61" s="1123">
        <v>1</v>
      </c>
      <c r="H61" s="1029">
        <f>IF(ISERROR(SUM(D61:F61)/COUNTA(D61:F61)),0,SUM(D61:F61)/COUNTA(D61:F61)*G61)</f>
        <v>0</v>
      </c>
      <c r="J61" s="921" t="s">
        <v>256</v>
      </c>
      <c r="K61" s="1024"/>
      <c r="L61" s="1120"/>
      <c r="M61" s="1121"/>
      <c r="N61" s="1122"/>
      <c r="O61" s="1123">
        <v>1</v>
      </c>
      <c r="P61" s="1029">
        <f>IF(ISERROR(SUM(L61:N61)/COUNTA(L61:N61)),0,SUM(L61:N61)/COUNTA(L61:N61)*O61)</f>
        <v>0</v>
      </c>
    </row>
    <row r="62" spans="2:16" ht="17.25" customHeight="1" x14ac:dyDescent="0.25">
      <c r="B62" s="1678" t="s">
        <v>265</v>
      </c>
      <c r="C62" s="1679"/>
      <c r="D62" s="1679"/>
      <c r="E62" s="1679"/>
      <c r="F62" s="1679"/>
      <c r="G62" s="1680"/>
      <c r="H62" s="916">
        <f>SUM((H38*12),(H40*12),H43,H45,H47,H49,(H52*12),(H53*12),(H55*12),(H57*12),(H60*12),(H61*12))</f>
        <v>0</v>
      </c>
      <c r="J62" s="1678" t="s">
        <v>266</v>
      </c>
      <c r="K62" s="1679"/>
      <c r="L62" s="1679"/>
      <c r="M62" s="1679"/>
      <c r="N62" s="1679"/>
      <c r="O62" s="1680"/>
      <c r="P62" s="916">
        <f>SUM((P38*12),(P40*12),P43,P45,P47,P49,(P52*12),(P53*12),(P55*12),(P57*12),(P60*12),(P61*12))</f>
        <v>0</v>
      </c>
    </row>
    <row r="63" spans="2:16" ht="17.25" customHeight="1" thickBot="1" x14ac:dyDescent="0.3">
      <c r="B63" s="1669" t="s">
        <v>267</v>
      </c>
      <c r="C63" s="1670"/>
      <c r="D63" s="1670"/>
      <c r="E63" s="1670"/>
      <c r="F63" s="1670"/>
      <c r="G63" s="1671"/>
      <c r="H63" s="917">
        <f>SUM((H39*12),(H41*12),H44,H46,H48,H50,(H52*12),(H54*12),(H56*12),(H58*12),(H60*12),(H61*12))</f>
        <v>0</v>
      </c>
      <c r="J63" s="1669" t="s">
        <v>268</v>
      </c>
      <c r="K63" s="1670"/>
      <c r="L63" s="1670"/>
      <c r="M63" s="1670"/>
      <c r="N63" s="1670"/>
      <c r="O63" s="1671"/>
      <c r="P63" s="917">
        <f>SUM((P39*12),(P41*12),P44,P46,P48,P50,(P52*12),(P54*12),(P56*12),(P58*12),(P60*12),(P61*12))</f>
        <v>0</v>
      </c>
    </row>
    <row r="64" spans="2:16" ht="17.25" customHeight="1" thickBot="1" x14ac:dyDescent="0.3"/>
    <row r="65" spans="2:16" ht="17.25" customHeight="1" x14ac:dyDescent="0.25">
      <c r="B65" s="1656" t="s">
        <v>261</v>
      </c>
      <c r="C65" s="1657"/>
      <c r="D65" s="1660" t="s">
        <v>262</v>
      </c>
      <c r="E65" s="1661"/>
      <c r="F65" s="1112" t="s">
        <v>263</v>
      </c>
      <c r="G65" s="1661" t="s">
        <v>264</v>
      </c>
      <c r="H65" s="1657"/>
      <c r="J65" s="1656" t="s">
        <v>261</v>
      </c>
      <c r="K65" s="1657"/>
      <c r="L65" s="1660" t="s">
        <v>262</v>
      </c>
      <c r="M65" s="1661"/>
      <c r="N65" s="1112" t="s">
        <v>263</v>
      </c>
      <c r="O65" s="1661" t="s">
        <v>264</v>
      </c>
      <c r="P65" s="1657"/>
    </row>
    <row r="66" spans="2:16" ht="17.25" customHeight="1" thickBot="1" x14ac:dyDescent="0.3">
      <c r="B66" s="1658"/>
      <c r="C66" s="1659"/>
      <c r="D66" s="1662"/>
      <c r="E66" s="1663"/>
      <c r="F66" s="1140"/>
      <c r="G66" s="1664" t="str">
        <f>IF(D66="","",D66/F66)</f>
        <v/>
      </c>
      <c r="H66" s="1665"/>
      <c r="J66" s="1658"/>
      <c r="K66" s="1659"/>
      <c r="L66" s="1662"/>
      <c r="M66" s="1663"/>
      <c r="N66" s="1140"/>
      <c r="O66" s="1664" t="str">
        <f>IF(L66="","",L66/N66)</f>
        <v/>
      </c>
      <c r="P66" s="1665"/>
    </row>
  </sheetData>
  <sheetProtection algorithmName="SHA-512" hashValue="yNar4uhVH/XtlhKUYsidCk9SKepnORNTITFNh3Iw8v6lPhNAPRJ9GnRytLJAPbSL+n9htA5pqM9NB1j6KmHbdw==" saltValue="qfepVvFY3KwZiz5vXZT5Gw==" spinCount="100000" sheet="1" objects="1" scenarios="1"/>
  <mergeCells count="84">
    <mergeCell ref="B15:B16"/>
    <mergeCell ref="B5:C5"/>
    <mergeCell ref="B10:C10"/>
    <mergeCell ref="J13:J14"/>
    <mergeCell ref="B6:B7"/>
    <mergeCell ref="B8:B9"/>
    <mergeCell ref="B11:B12"/>
    <mergeCell ref="B13:B14"/>
    <mergeCell ref="J5:K5"/>
    <mergeCell ref="J6:J7"/>
    <mergeCell ref="J8:J9"/>
    <mergeCell ref="J10:K10"/>
    <mergeCell ref="J11:J12"/>
    <mergeCell ref="B31:G31"/>
    <mergeCell ref="J31:O31"/>
    <mergeCell ref="B19:C19"/>
    <mergeCell ref="B21:B22"/>
    <mergeCell ref="B23:B24"/>
    <mergeCell ref="B25:B26"/>
    <mergeCell ref="J45:J46"/>
    <mergeCell ref="J47:J48"/>
    <mergeCell ref="J49:J50"/>
    <mergeCell ref="B42:C42"/>
    <mergeCell ref="B43:B44"/>
    <mergeCell ref="J43:J44"/>
    <mergeCell ref="B40:B41"/>
    <mergeCell ref="B47:B48"/>
    <mergeCell ref="B49:B50"/>
    <mergeCell ref="B51:C51"/>
    <mergeCell ref="B53:B54"/>
    <mergeCell ref="B45:B46"/>
    <mergeCell ref="J4:P4"/>
    <mergeCell ref="B4:H4"/>
    <mergeCell ref="B36:H36"/>
    <mergeCell ref="B37:C37"/>
    <mergeCell ref="B38:B39"/>
    <mergeCell ref="B17:B18"/>
    <mergeCell ref="B27:C27"/>
    <mergeCell ref="J17:J18"/>
    <mergeCell ref="J27:K27"/>
    <mergeCell ref="B30:G30"/>
    <mergeCell ref="J30:O30"/>
    <mergeCell ref="J15:J16"/>
    <mergeCell ref="J19:K19"/>
    <mergeCell ref="J21:J22"/>
    <mergeCell ref="J23:J24"/>
    <mergeCell ref="J25:J26"/>
    <mergeCell ref="J36:P36"/>
    <mergeCell ref="J37:K37"/>
    <mergeCell ref="J38:J39"/>
    <mergeCell ref="J40:J41"/>
    <mergeCell ref="J42:K42"/>
    <mergeCell ref="B55:B56"/>
    <mergeCell ref="B57:B58"/>
    <mergeCell ref="B59:C59"/>
    <mergeCell ref="B62:G62"/>
    <mergeCell ref="B63:G63"/>
    <mergeCell ref="J63:O63"/>
    <mergeCell ref="J51:K51"/>
    <mergeCell ref="J53:J54"/>
    <mergeCell ref="J55:J56"/>
    <mergeCell ref="J57:J58"/>
    <mergeCell ref="J59:K59"/>
    <mergeCell ref="J62:O62"/>
    <mergeCell ref="G33:H33"/>
    <mergeCell ref="G34:H34"/>
    <mergeCell ref="D33:E33"/>
    <mergeCell ref="D34:E34"/>
    <mergeCell ref="B33:C34"/>
    <mergeCell ref="J33:K34"/>
    <mergeCell ref="L33:M33"/>
    <mergeCell ref="O33:P33"/>
    <mergeCell ref="L34:M34"/>
    <mergeCell ref="O34:P34"/>
    <mergeCell ref="B65:C66"/>
    <mergeCell ref="D65:E65"/>
    <mergeCell ref="G65:H65"/>
    <mergeCell ref="D66:E66"/>
    <mergeCell ref="G66:H66"/>
    <mergeCell ref="J65:K66"/>
    <mergeCell ref="L65:M65"/>
    <mergeCell ref="O65:P65"/>
    <mergeCell ref="L66:M66"/>
    <mergeCell ref="O66:P66"/>
  </mergeCells>
  <phoneticPr fontId="89" type="noConversion"/>
  <dataValidations count="3">
    <dataValidation type="list" allowBlank="1" showInputMessage="1" showErrorMessage="1" sqref="G11:G16 O11:O16 O43:O48 G43:G48" xr:uid="{A9B250ED-FA65-41FA-B70F-177C457A735C}">
      <formula1>$V$1:$V$5</formula1>
    </dataValidation>
    <dataValidation type="list" allowBlank="1" showInputMessage="1" showErrorMessage="1" sqref="G17:G18 O17:O18 O49:O50 G49:G50" xr:uid="{17C0D3BF-4BF0-4B8B-909E-3A8EB3778038}">
      <formula1>$S$1:$S$3</formula1>
    </dataValidation>
    <dataValidation type="list" allowBlank="1" showInputMessage="1" showErrorMessage="1" sqref="G8:G9 G60:G61 G40:G41 G28:G29 O60:O61 O40:O41 O28:O29 O8:O9" xr:uid="{D82DD897-A759-4D1A-AB0B-16BC3CA4801E}">
      <formula1>$T$1:$T$3</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00B0F0"/>
    <pageSetUpPr fitToPage="1"/>
  </sheetPr>
  <dimension ref="A1:N36"/>
  <sheetViews>
    <sheetView showGridLines="0" topLeftCell="B1" workbookViewId="0">
      <selection activeCell="F34" sqref="F34"/>
    </sheetView>
  </sheetViews>
  <sheetFormatPr defaultColWidth="9.140625" defaultRowHeight="15" x14ac:dyDescent="0.25"/>
  <cols>
    <col min="1" max="1" width="13.28515625" style="922" hidden="1" customWidth="1"/>
    <col min="2" max="2" width="2.85546875" style="922" customWidth="1"/>
    <col min="3" max="3" width="11.140625" style="922" customWidth="1"/>
    <col min="4" max="4" width="24.5703125" style="922" customWidth="1"/>
    <col min="5" max="5" width="20.5703125" style="922" customWidth="1"/>
    <col min="6" max="8" width="16.5703125" style="922" customWidth="1"/>
    <col min="9" max="9" width="11" style="922" customWidth="1"/>
    <col min="10" max="10" width="35.85546875" style="922" customWidth="1"/>
    <col min="11" max="12" width="9.140625" style="922"/>
    <col min="13" max="13" width="17.7109375" style="922" customWidth="1"/>
    <col min="14" max="14" width="10.5703125" style="922" bestFit="1" customWidth="1"/>
    <col min="15" max="16384" width="9.140625" style="922"/>
  </cols>
  <sheetData>
    <row r="1" spans="1:13" ht="26.25" x14ac:dyDescent="0.4">
      <c r="C1" s="1047" t="s">
        <v>269</v>
      </c>
      <c r="D1" s="1048"/>
    </row>
    <row r="2" spans="1:13" ht="8.25" customHeight="1" x14ac:dyDescent="0.25"/>
    <row r="3" spans="1:13" x14ac:dyDescent="0.25">
      <c r="A3" s="922">
        <v>1</v>
      </c>
      <c r="C3" s="1041" t="s">
        <v>270</v>
      </c>
      <c r="D3" s="1041" t="s">
        <v>271</v>
      </c>
      <c r="E3" s="1041" t="s">
        <v>272</v>
      </c>
      <c r="F3" s="1041" t="s">
        <v>273</v>
      </c>
      <c r="G3" s="1041" t="s">
        <v>274</v>
      </c>
      <c r="H3" s="1041" t="s">
        <v>275</v>
      </c>
      <c r="I3" s="1041" t="s">
        <v>276</v>
      </c>
      <c r="J3" s="1041" t="s">
        <v>277</v>
      </c>
      <c r="L3" s="1691" t="s">
        <v>278</v>
      </c>
      <c r="M3" s="1691"/>
    </row>
    <row r="4" spans="1:13" ht="18" customHeight="1" x14ac:dyDescent="0.25">
      <c r="A4" s="922">
        <v>2</v>
      </c>
      <c r="C4" s="1036"/>
      <c r="D4" s="1037"/>
      <c r="E4" s="1036"/>
      <c r="F4" s="1042"/>
      <c r="G4" s="1043"/>
      <c r="H4" s="1039">
        <f>IF(E4="Credit Card",F4*3%,G4)</f>
        <v>0</v>
      </c>
      <c r="I4" s="1037"/>
      <c r="J4" s="1036"/>
      <c r="L4" s="1045" t="s">
        <v>279</v>
      </c>
      <c r="M4" s="1046">
        <f>SUMIFS(H:H,C:C,A3,I:I,"Yes")</f>
        <v>0</v>
      </c>
    </row>
    <row r="5" spans="1:13" ht="18" customHeight="1" x14ac:dyDescent="0.25">
      <c r="A5" s="922">
        <v>3</v>
      </c>
      <c r="C5" s="1036"/>
      <c r="D5" s="1037"/>
      <c r="E5" s="1036"/>
      <c r="F5" s="1042"/>
      <c r="G5" s="1043"/>
      <c r="H5" s="1039">
        <f t="shared" ref="H5:H24" si="0">IF(E5="Credit Card",F5*3%,G5)</f>
        <v>0</v>
      </c>
      <c r="I5" s="1037"/>
      <c r="J5" s="1036"/>
      <c r="L5" s="1045" t="s">
        <v>280</v>
      </c>
      <c r="M5" s="1046">
        <f>SUMIFS(H:H,C:C,A4,I:I,"Yes")</f>
        <v>0</v>
      </c>
    </row>
    <row r="6" spans="1:13" ht="18" customHeight="1" x14ac:dyDescent="0.25">
      <c r="A6" s="922">
        <v>4</v>
      </c>
      <c r="C6" s="1036"/>
      <c r="D6" s="1037"/>
      <c r="E6" s="1036"/>
      <c r="F6" s="1042"/>
      <c r="G6" s="1043"/>
      <c r="H6" s="1039">
        <f t="shared" si="0"/>
        <v>0</v>
      </c>
      <c r="I6" s="1037"/>
      <c r="J6" s="1036"/>
      <c r="L6" s="1045" t="s">
        <v>281</v>
      </c>
      <c r="M6" s="1046">
        <f>SUMIFS(H:H,C:C,A5,I:I,"Yes")</f>
        <v>0</v>
      </c>
    </row>
    <row r="7" spans="1:13" ht="18" customHeight="1" x14ac:dyDescent="0.25">
      <c r="C7" s="1036"/>
      <c r="D7" s="1037"/>
      <c r="E7" s="1036"/>
      <c r="F7" s="1042"/>
      <c r="G7" s="1043"/>
      <c r="H7" s="1039">
        <f t="shared" si="0"/>
        <v>0</v>
      </c>
      <c r="I7" s="1037"/>
      <c r="J7" s="1036"/>
      <c r="L7" s="1045" t="s">
        <v>282</v>
      </c>
      <c r="M7" s="1046">
        <f>SUMIFS(H:H,C:C,A6,I:I,"Yes")</f>
        <v>0</v>
      </c>
    </row>
    <row r="8" spans="1:13" ht="18" customHeight="1" x14ac:dyDescent="0.25">
      <c r="C8" s="1036"/>
      <c r="D8" s="1037"/>
      <c r="E8" s="1036"/>
      <c r="F8" s="1042"/>
      <c r="G8" s="1043"/>
      <c r="H8" s="1039">
        <f t="shared" si="0"/>
        <v>0</v>
      </c>
      <c r="I8" s="1037"/>
      <c r="J8" s="1036"/>
    </row>
    <row r="9" spans="1:13" ht="18" customHeight="1" x14ac:dyDescent="0.25">
      <c r="A9" s="922" t="s">
        <v>283</v>
      </c>
      <c r="C9" s="1036"/>
      <c r="D9" s="1037"/>
      <c r="E9" s="1036"/>
      <c r="F9" s="1042"/>
      <c r="G9" s="1043"/>
      <c r="H9" s="1039">
        <f t="shared" si="0"/>
        <v>0</v>
      </c>
      <c r="I9" s="1037"/>
      <c r="J9" s="1036"/>
      <c r="L9" s="1045" t="s">
        <v>284</v>
      </c>
      <c r="M9" s="1046">
        <f>SUM(M4:M7)</f>
        <v>0</v>
      </c>
    </row>
    <row r="10" spans="1:13" ht="18" customHeight="1" x14ac:dyDescent="0.25">
      <c r="A10" s="922" t="s">
        <v>285</v>
      </c>
      <c r="C10" s="1036"/>
      <c r="D10" s="1037"/>
      <c r="E10" s="1036"/>
      <c r="F10" s="1042"/>
      <c r="G10" s="1043"/>
      <c r="H10" s="1039">
        <f t="shared" si="0"/>
        <v>0</v>
      </c>
      <c r="I10" s="1037"/>
      <c r="J10" s="1036"/>
    </row>
    <row r="11" spans="1:13" ht="18" customHeight="1" x14ac:dyDescent="0.25">
      <c r="A11" s="922" t="s">
        <v>286</v>
      </c>
      <c r="C11" s="1036"/>
      <c r="D11" s="1037"/>
      <c r="E11" s="1036"/>
      <c r="F11" s="1042"/>
      <c r="G11" s="1043"/>
      <c r="H11" s="1039">
        <f t="shared" si="0"/>
        <v>0</v>
      </c>
      <c r="I11" s="1037"/>
      <c r="J11" s="1036"/>
    </row>
    <row r="12" spans="1:13" ht="18" customHeight="1" x14ac:dyDescent="0.25">
      <c r="A12" s="922" t="s">
        <v>287</v>
      </c>
      <c r="C12" s="1036"/>
      <c r="D12" s="1036"/>
      <c r="E12" s="1036"/>
      <c r="F12" s="1043"/>
      <c r="G12" s="1043"/>
      <c r="H12" s="1039">
        <f t="shared" si="0"/>
        <v>0</v>
      </c>
      <c r="I12" s="1038"/>
      <c r="J12" s="1036"/>
    </row>
    <row r="13" spans="1:13" ht="18" customHeight="1" x14ac:dyDescent="0.25">
      <c r="A13" s="922" t="s">
        <v>288</v>
      </c>
      <c r="C13" s="1036"/>
      <c r="D13" s="1036"/>
      <c r="E13" s="1036"/>
      <c r="F13" s="1043"/>
      <c r="G13" s="1043"/>
      <c r="H13" s="1039">
        <f t="shared" si="0"/>
        <v>0</v>
      </c>
      <c r="I13" s="1038"/>
      <c r="J13" s="1036"/>
    </row>
    <row r="14" spans="1:13" ht="18" customHeight="1" x14ac:dyDescent="0.25">
      <c r="A14" s="922" t="s">
        <v>289</v>
      </c>
      <c r="C14" s="1036"/>
      <c r="D14" s="1036"/>
      <c r="E14" s="1036"/>
      <c r="F14" s="1043"/>
      <c r="G14" s="1043"/>
      <c r="H14" s="1039">
        <f t="shared" si="0"/>
        <v>0</v>
      </c>
      <c r="I14" s="1038"/>
      <c r="J14" s="1036"/>
    </row>
    <row r="15" spans="1:13" ht="18" customHeight="1" x14ac:dyDescent="0.25">
      <c r="C15" s="1036"/>
      <c r="D15" s="1036"/>
      <c r="E15" s="1036"/>
      <c r="F15" s="1043"/>
      <c r="G15" s="1043"/>
      <c r="H15" s="1039">
        <f t="shared" si="0"/>
        <v>0</v>
      </c>
      <c r="I15" s="1038"/>
      <c r="J15" s="1036"/>
    </row>
    <row r="16" spans="1:13" ht="18" customHeight="1" x14ac:dyDescent="0.25">
      <c r="C16" s="1036"/>
      <c r="D16" s="1036"/>
      <c r="E16" s="1036"/>
      <c r="F16" s="1043"/>
      <c r="G16" s="1043"/>
      <c r="H16" s="1039">
        <f t="shared" si="0"/>
        <v>0</v>
      </c>
      <c r="I16" s="1038"/>
      <c r="J16" s="1036"/>
    </row>
    <row r="17" spans="1:14" ht="18" customHeight="1" x14ac:dyDescent="0.25">
      <c r="A17" s="922" t="s">
        <v>290</v>
      </c>
      <c r="C17" s="1036"/>
      <c r="D17" s="1036"/>
      <c r="E17" s="1036"/>
      <c r="F17" s="1043"/>
      <c r="G17" s="1043"/>
      <c r="H17" s="1039">
        <f t="shared" si="0"/>
        <v>0</v>
      </c>
      <c r="I17" s="1038"/>
      <c r="J17" s="1036"/>
      <c r="N17" s="923"/>
    </row>
    <row r="18" spans="1:14" ht="18" customHeight="1" x14ac:dyDescent="0.25">
      <c r="A18" s="922" t="s">
        <v>291</v>
      </c>
      <c r="C18" s="1036"/>
      <c r="D18" s="1036"/>
      <c r="E18" s="1036"/>
      <c r="F18" s="1043"/>
      <c r="G18" s="1043"/>
      <c r="H18" s="1039">
        <f t="shared" si="0"/>
        <v>0</v>
      </c>
      <c r="I18" s="1038"/>
      <c r="J18" s="1036"/>
    </row>
    <row r="19" spans="1:14" ht="18" customHeight="1" x14ac:dyDescent="0.25">
      <c r="C19" s="1036"/>
      <c r="D19" s="1036"/>
      <c r="E19" s="1036"/>
      <c r="F19" s="1043"/>
      <c r="G19" s="1043"/>
      <c r="H19" s="1039">
        <f t="shared" si="0"/>
        <v>0</v>
      </c>
      <c r="I19" s="1038"/>
      <c r="J19" s="1036"/>
    </row>
    <row r="20" spans="1:14" ht="18" customHeight="1" x14ac:dyDescent="0.25">
      <c r="C20" s="1036"/>
      <c r="D20" s="1036"/>
      <c r="E20" s="1036"/>
      <c r="F20" s="1044"/>
      <c r="G20" s="1044"/>
      <c r="H20" s="1039">
        <f t="shared" si="0"/>
        <v>0</v>
      </c>
      <c r="I20" s="1040"/>
      <c r="J20" s="1036"/>
    </row>
    <row r="21" spans="1:14" ht="18" customHeight="1" x14ac:dyDescent="0.25">
      <c r="C21" s="1036"/>
      <c r="D21" s="1036"/>
      <c r="E21" s="1036"/>
      <c r="F21" s="1044"/>
      <c r="G21" s="1044"/>
      <c r="H21" s="1039">
        <f t="shared" si="0"/>
        <v>0</v>
      </c>
      <c r="I21" s="1040"/>
      <c r="J21" s="1036"/>
    </row>
    <row r="22" spans="1:14" ht="18" customHeight="1" x14ac:dyDescent="0.25">
      <c r="C22" s="1036"/>
      <c r="D22" s="1036"/>
      <c r="E22" s="1036"/>
      <c r="F22" s="1044"/>
      <c r="G22" s="1044"/>
      <c r="H22" s="1039">
        <f t="shared" si="0"/>
        <v>0</v>
      </c>
      <c r="I22" s="1040"/>
      <c r="J22" s="1036"/>
    </row>
    <row r="23" spans="1:14" ht="18" customHeight="1" x14ac:dyDescent="0.25">
      <c r="C23" s="1036"/>
      <c r="D23" s="1036"/>
      <c r="E23" s="1036"/>
      <c r="F23" s="1044"/>
      <c r="G23" s="1044"/>
      <c r="H23" s="1039">
        <f t="shared" si="0"/>
        <v>0</v>
      </c>
      <c r="I23" s="1040"/>
      <c r="J23" s="1036"/>
    </row>
    <row r="24" spans="1:14" ht="18" customHeight="1" x14ac:dyDescent="0.25">
      <c r="C24" s="1036"/>
      <c r="D24" s="1036"/>
      <c r="E24" s="1036"/>
      <c r="F24" s="1044"/>
      <c r="G24" s="1044"/>
      <c r="H24" s="1039">
        <f t="shared" si="0"/>
        <v>0</v>
      </c>
      <c r="I24" s="1040"/>
      <c r="J24" s="1036"/>
    </row>
    <row r="26" spans="1:14" s="931" customFormat="1" ht="14.25" x14ac:dyDescent="0.2">
      <c r="C26" s="1690" t="s">
        <v>292</v>
      </c>
      <c r="D26" s="1690"/>
      <c r="E26" s="1690"/>
      <c r="F26" s="1690"/>
    </row>
    <row r="27" spans="1:14" s="931" customFormat="1" ht="4.5" customHeight="1" x14ac:dyDescent="0.2">
      <c r="C27" s="1111"/>
      <c r="D27" s="1111"/>
      <c r="E27" s="1111"/>
      <c r="F27" s="1111"/>
    </row>
    <row r="28" spans="1:14" ht="17.25" customHeight="1" x14ac:dyDescent="0.3">
      <c r="C28" s="1687" t="s">
        <v>293</v>
      </c>
      <c r="D28" s="1687"/>
      <c r="E28" s="1687"/>
      <c r="F28" s="1106"/>
    </row>
    <row r="29" spans="1:14" ht="17.25" customHeight="1" x14ac:dyDescent="0.3">
      <c r="C29" s="1687" t="s">
        <v>59</v>
      </c>
      <c r="D29" s="1687"/>
      <c r="E29" s="1687"/>
      <c r="F29" s="1107"/>
    </row>
    <row r="30" spans="1:14" ht="17.25" customHeight="1" x14ac:dyDescent="0.3">
      <c r="C30" s="1687" t="s">
        <v>294</v>
      </c>
      <c r="D30" s="1687"/>
      <c r="E30" s="1687"/>
      <c r="F30" s="1107"/>
    </row>
    <row r="31" spans="1:14" ht="17.25" customHeight="1" x14ac:dyDescent="0.3">
      <c r="C31" s="1687" t="s">
        <v>180</v>
      </c>
      <c r="D31" s="1687"/>
      <c r="E31" s="1687"/>
      <c r="F31" s="1108"/>
    </row>
    <row r="32" spans="1:14" ht="17.25" hidden="1" customHeight="1" x14ac:dyDescent="0.3">
      <c r="C32" s="1687" t="s">
        <v>295</v>
      </c>
      <c r="D32" s="1687"/>
      <c r="E32" s="1687"/>
      <c r="F32" s="1109" t="e">
        <f>-PMT(F31/100,F30,1000)/12</f>
        <v>#NUM!</v>
      </c>
    </row>
    <row r="33" spans="3:6" ht="17.25" customHeight="1" x14ac:dyDescent="0.25">
      <c r="C33" s="1688" t="s">
        <v>296</v>
      </c>
      <c r="D33" s="1688"/>
      <c r="E33" s="1688"/>
      <c r="F33" s="1110" t="str">
        <f>IFERROR(IF(F29="Interest Only",(F28*F31/1200),(F28/1000*F32)),"")</f>
        <v/>
      </c>
    </row>
    <row r="34" spans="3:6" ht="17.25" customHeight="1" x14ac:dyDescent="0.25">
      <c r="C34" s="1113"/>
      <c r="D34" s="1113"/>
      <c r="E34" s="1113"/>
      <c r="F34" s="1114"/>
    </row>
    <row r="35" spans="3:6" ht="17.25" customHeight="1" x14ac:dyDescent="0.25">
      <c r="C35" s="1113"/>
      <c r="D35" s="1113"/>
      <c r="E35" s="1113"/>
      <c r="F35" s="1114"/>
    </row>
    <row r="36" spans="3:6" x14ac:dyDescent="0.25">
      <c r="C36" s="1689"/>
      <c r="D36" s="1689"/>
      <c r="E36" s="1689"/>
    </row>
  </sheetData>
  <sheetProtection algorithmName="SHA-512" hashValue="2T0DKgbxN1HNwXCxaPhiMNKvsWOE0AV75dwyN+kqqN0645Yvn35Z6f+xB+0dKKDJ1vi+jjPqu1XbsGH/NVrQPg==" saltValue="AKMN6qKrchr1uuFxMRACgA==" spinCount="100000" sheet="1" objects="1" scenarios="1"/>
  <mergeCells count="9">
    <mergeCell ref="C32:E32"/>
    <mergeCell ref="C33:E33"/>
    <mergeCell ref="C36:E36"/>
    <mergeCell ref="C26:F26"/>
    <mergeCell ref="L3:M3"/>
    <mergeCell ref="C28:E28"/>
    <mergeCell ref="C29:E29"/>
    <mergeCell ref="C30:E30"/>
    <mergeCell ref="C31:E31"/>
  </mergeCells>
  <phoneticPr fontId="89" type="noConversion"/>
  <dataValidations count="3">
    <dataValidation type="list" allowBlank="1" showInputMessage="1" showErrorMessage="1" sqref="C4:C24" xr:uid="{A18A34FB-1F56-45F9-ABC4-3F3B7A611FD2}">
      <formula1>$A$3:$A$6</formula1>
    </dataValidation>
    <dataValidation type="list" allowBlank="1" showInputMessage="1" showErrorMessage="1" sqref="E4:E24" xr:uid="{BB7E4AB6-D79E-4C60-8A14-1FE5CB3D0308}">
      <formula1>$A$9:$A$14</formula1>
    </dataValidation>
    <dataValidation type="list" allowBlank="1" showInputMessage="1" showErrorMessage="1" sqref="I4:I24" xr:uid="{519C2B6A-8168-4329-9758-23AE887149CD}">
      <formula1>$A$17:$A$18</formula1>
    </dataValidation>
  </dataValidations>
  <pageMargins left="0.7" right="0.7" top="0.75" bottom="0.75" header="0.3" footer="0.3"/>
  <pageSetup paperSize="9"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B6797993-FB42-4A49-8F01-6C336C38A57F}">
          <x14:formula1>
            <xm:f>'Drop down'!$C$2:$C$3</xm:f>
          </x14:formula1>
          <xm:sqref>F29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00B0F0"/>
    <pageSetUpPr fitToPage="1"/>
  </sheetPr>
  <dimension ref="B1:FE26"/>
  <sheetViews>
    <sheetView showGridLines="0" showRowColHeaders="0" topLeftCell="A2" workbookViewId="0">
      <selection activeCell="G12" sqref="G12"/>
    </sheetView>
  </sheetViews>
  <sheetFormatPr defaultColWidth="9.140625" defaultRowHeight="15" x14ac:dyDescent="0.25"/>
  <cols>
    <col min="1" max="1" width="2" style="922" customWidth="1"/>
    <col min="2" max="2" width="26.5703125" style="922" customWidth="1"/>
    <col min="3" max="3" width="18.28515625" style="922" customWidth="1"/>
    <col min="4" max="4" width="13.28515625" style="922" customWidth="1"/>
    <col min="5" max="5" width="12.7109375" style="922" customWidth="1"/>
    <col min="6" max="6" width="13.85546875" style="922" customWidth="1"/>
    <col min="7" max="7" width="21.85546875" style="922" customWidth="1"/>
    <col min="8" max="8" width="18.5703125" style="922" customWidth="1"/>
    <col min="9" max="10" width="17.140625" style="922" customWidth="1"/>
    <col min="11" max="11" width="25.28515625" style="922" bestFit="1" customWidth="1"/>
    <col min="12" max="12" width="36.140625" style="922" customWidth="1"/>
    <col min="13" max="15" width="9.140625" style="922"/>
    <col min="16" max="16" width="20.140625" style="922" hidden="1" customWidth="1"/>
    <col min="17" max="16384" width="9.140625" style="922"/>
  </cols>
  <sheetData>
    <row r="1" spans="2:161" ht="42" customHeight="1" x14ac:dyDescent="0.25">
      <c r="B1" s="1693" t="s">
        <v>297</v>
      </c>
      <c r="C1" s="1693"/>
      <c r="D1" s="1693"/>
      <c r="E1" s="1693"/>
      <c r="P1" s="922" t="s">
        <v>298</v>
      </c>
    </row>
    <row r="2" spans="2:161" ht="12.75" customHeight="1" x14ac:dyDescent="0.25">
      <c r="B2" s="1049"/>
      <c r="C2" s="1048"/>
      <c r="D2" s="1048"/>
      <c r="E2" s="1048"/>
      <c r="P2" s="922" t="s">
        <v>299</v>
      </c>
    </row>
    <row r="3" spans="2:161" s="907" customFormat="1" x14ac:dyDescent="0.25">
      <c r="B3" s="1050" t="s">
        <v>300</v>
      </c>
      <c r="C3" s="1050" t="s">
        <v>301</v>
      </c>
      <c r="D3" s="1051" t="s">
        <v>302</v>
      </c>
      <c r="E3" s="1051" t="s">
        <v>303</v>
      </c>
      <c r="F3" s="1051" t="s">
        <v>304</v>
      </c>
      <c r="G3" s="1050" t="s">
        <v>305</v>
      </c>
      <c r="H3" s="1050" t="s">
        <v>181</v>
      </c>
      <c r="I3" s="1050" t="s">
        <v>124</v>
      </c>
      <c r="J3" s="1050" t="s">
        <v>306</v>
      </c>
      <c r="K3" s="1050" t="s">
        <v>307</v>
      </c>
      <c r="L3" s="1050" t="s">
        <v>277</v>
      </c>
      <c r="M3" s="922"/>
      <c r="N3" s="922"/>
      <c r="O3" s="922"/>
      <c r="P3" s="922" t="s">
        <v>308</v>
      </c>
      <c r="Q3" s="922"/>
      <c r="R3" s="922"/>
      <c r="S3" s="922"/>
      <c r="T3" s="922"/>
      <c r="U3" s="922"/>
      <c r="V3" s="922"/>
      <c r="W3" s="922"/>
      <c r="X3" s="922"/>
      <c r="Y3" s="922"/>
      <c r="Z3" s="922"/>
      <c r="AA3" s="922"/>
      <c r="AB3" s="922"/>
      <c r="AC3" s="922"/>
      <c r="AD3" s="922"/>
      <c r="AE3" s="922"/>
      <c r="AF3" s="922"/>
      <c r="AG3" s="922"/>
      <c r="AH3" s="922"/>
      <c r="AI3" s="922"/>
      <c r="AJ3" s="922"/>
      <c r="AK3" s="922"/>
      <c r="AL3" s="922"/>
      <c r="AM3" s="922"/>
      <c r="AN3" s="922"/>
      <c r="AO3" s="922"/>
      <c r="AP3" s="922"/>
      <c r="AQ3" s="922"/>
      <c r="AR3" s="922"/>
      <c r="AS3" s="922"/>
      <c r="AT3" s="922"/>
      <c r="AU3" s="922"/>
      <c r="AV3" s="922"/>
      <c r="AW3" s="922"/>
      <c r="AX3" s="922"/>
      <c r="AY3" s="922"/>
      <c r="AZ3" s="922"/>
      <c r="BA3" s="922"/>
      <c r="BB3" s="922"/>
      <c r="BC3" s="922"/>
      <c r="BD3" s="922"/>
      <c r="BE3" s="922"/>
      <c r="BF3" s="922"/>
      <c r="BG3" s="922"/>
      <c r="BH3" s="922"/>
      <c r="BI3" s="922"/>
      <c r="BJ3" s="922"/>
      <c r="BK3" s="922"/>
      <c r="BL3" s="922"/>
      <c r="BM3" s="922"/>
      <c r="BN3" s="922"/>
      <c r="BO3" s="922"/>
      <c r="BP3" s="922"/>
      <c r="BQ3" s="922"/>
      <c r="BR3" s="922"/>
      <c r="BS3" s="922"/>
      <c r="BT3" s="922"/>
      <c r="BU3" s="922"/>
      <c r="BV3" s="922"/>
      <c r="BW3" s="922"/>
      <c r="BX3" s="922"/>
      <c r="BY3" s="922"/>
      <c r="BZ3" s="922"/>
      <c r="CA3" s="922"/>
      <c r="CB3" s="922"/>
      <c r="CC3" s="922"/>
      <c r="CD3" s="922"/>
      <c r="CE3" s="922"/>
      <c r="CF3" s="922"/>
      <c r="CG3" s="922"/>
      <c r="CH3" s="922"/>
      <c r="CI3" s="922"/>
      <c r="CJ3" s="922"/>
      <c r="CK3" s="922"/>
      <c r="CL3" s="922"/>
      <c r="CM3" s="922"/>
      <c r="CN3" s="922"/>
      <c r="CO3" s="922"/>
      <c r="CP3" s="922"/>
      <c r="CQ3" s="922"/>
      <c r="CR3" s="922"/>
      <c r="CS3" s="922"/>
      <c r="CT3" s="922"/>
      <c r="CU3" s="922"/>
      <c r="CV3" s="922"/>
      <c r="CW3" s="922"/>
      <c r="CX3" s="922"/>
      <c r="CY3" s="922"/>
      <c r="CZ3" s="922"/>
      <c r="DA3" s="922"/>
      <c r="DB3" s="922"/>
      <c r="DC3" s="922"/>
      <c r="DD3" s="922"/>
      <c r="DE3" s="922"/>
      <c r="DF3" s="922"/>
      <c r="DG3" s="922"/>
      <c r="DH3" s="922"/>
      <c r="DI3" s="922"/>
      <c r="DJ3" s="922"/>
      <c r="DK3" s="922"/>
      <c r="DL3" s="922"/>
      <c r="DM3" s="922"/>
      <c r="DN3" s="922"/>
      <c r="DO3" s="922"/>
      <c r="DP3" s="922"/>
      <c r="DQ3" s="922"/>
      <c r="DR3" s="922"/>
      <c r="DS3" s="922"/>
      <c r="DT3" s="922"/>
      <c r="DU3" s="922"/>
      <c r="DV3" s="922"/>
      <c r="DW3" s="922"/>
      <c r="DX3" s="922"/>
      <c r="DY3" s="922"/>
      <c r="DZ3" s="922"/>
      <c r="EA3" s="922"/>
      <c r="EB3" s="922"/>
      <c r="EC3" s="922"/>
      <c r="ED3" s="922"/>
      <c r="EE3" s="922"/>
      <c r="EF3" s="922"/>
      <c r="EG3" s="922"/>
      <c r="EH3" s="922"/>
      <c r="EI3" s="922"/>
      <c r="EJ3" s="922"/>
      <c r="EK3" s="922"/>
      <c r="EL3" s="922"/>
      <c r="EM3" s="922"/>
      <c r="EN3" s="922"/>
      <c r="EO3" s="922"/>
      <c r="EP3" s="922"/>
      <c r="EQ3" s="922"/>
      <c r="ER3" s="922"/>
      <c r="ES3" s="922"/>
      <c r="ET3" s="922"/>
      <c r="EU3" s="922"/>
      <c r="EV3" s="922"/>
      <c r="EW3" s="922"/>
      <c r="EX3" s="922"/>
      <c r="EY3" s="922"/>
      <c r="EZ3" s="922"/>
      <c r="FA3" s="922"/>
      <c r="FB3" s="922"/>
      <c r="FC3" s="922"/>
      <c r="FD3" s="922"/>
      <c r="FE3" s="922"/>
    </row>
    <row r="4" spans="2:161" x14ac:dyDescent="0.25">
      <c r="B4" s="1045" t="s">
        <v>66</v>
      </c>
      <c r="C4" s="1052"/>
      <c r="D4" s="1052"/>
      <c r="E4" s="1052"/>
      <c r="F4" s="1052"/>
      <c r="G4" s="1053"/>
      <c r="H4" s="1054"/>
      <c r="I4" s="1055">
        <v>0</v>
      </c>
      <c r="J4" s="1072">
        <f>G4</f>
        <v>0</v>
      </c>
      <c r="K4" s="1057" t="str">
        <f>IF(H4="","",IFERROR(IF(J4=0,"",IF(J4=I4,"ONS",H4)),""))</f>
        <v/>
      </c>
      <c r="L4" s="1058"/>
    </row>
    <row r="5" spans="2:161" x14ac:dyDescent="0.25">
      <c r="B5" s="1045" t="s">
        <v>309</v>
      </c>
      <c r="C5" s="1052"/>
      <c r="D5" s="1052"/>
      <c r="E5" s="1052"/>
      <c r="F5" s="1052"/>
      <c r="G5" s="1053"/>
      <c r="H5" s="1059"/>
      <c r="I5" s="1055"/>
      <c r="J5" s="1072">
        <f>G5</f>
        <v>0</v>
      </c>
      <c r="K5" s="1057" t="str">
        <f t="shared" ref="K5:K12" si="0">IF(H5="","",IFERROR(IF(J5=0,"",IF(J5=I5,"ONS",H5)),""))</f>
        <v/>
      </c>
      <c r="L5" s="1058"/>
    </row>
    <row r="6" spans="2:161" x14ac:dyDescent="0.25">
      <c r="B6" s="1045" t="s">
        <v>310</v>
      </c>
      <c r="C6" s="1052"/>
      <c r="D6" s="1052"/>
      <c r="E6" s="1052"/>
      <c r="F6" s="1052"/>
      <c r="G6" s="1053"/>
      <c r="H6" s="1059"/>
      <c r="I6" s="1060" t="str">
        <f>'1 - Main'!P38</f>
        <v/>
      </c>
      <c r="J6" s="1072">
        <f t="shared" ref="J6:J12" si="1">MAX(G6:I6)</f>
        <v>0</v>
      </c>
      <c r="K6" s="1057" t="str">
        <f t="shared" si="0"/>
        <v/>
      </c>
      <c r="L6" s="1058"/>
    </row>
    <row r="7" spans="2:161" x14ac:dyDescent="0.25">
      <c r="B7" s="1045" t="s">
        <v>311</v>
      </c>
      <c r="C7" s="1052"/>
      <c r="D7" s="1052"/>
      <c r="E7" s="1052"/>
      <c r="F7" s="1052"/>
      <c r="G7" s="1053"/>
      <c r="H7" s="1059"/>
      <c r="I7" s="1508">
        <f>'1 - Main'!P39</f>
        <v>0</v>
      </c>
      <c r="J7" s="1072">
        <f t="shared" si="1"/>
        <v>0</v>
      </c>
      <c r="K7" s="1057" t="str">
        <f t="shared" si="0"/>
        <v/>
      </c>
      <c r="L7" s="1058"/>
    </row>
    <row r="8" spans="2:161" x14ac:dyDescent="0.25">
      <c r="B8" s="1045" t="s">
        <v>312</v>
      </c>
      <c r="C8" s="1052"/>
      <c r="D8" s="1052"/>
      <c r="E8" s="1052"/>
      <c r="F8" s="1052"/>
      <c r="G8" s="1053"/>
      <c r="H8" s="1059"/>
      <c r="I8" s="1060" t="str">
        <f>'1 - Main'!P40</f>
        <v/>
      </c>
      <c r="J8" s="1072">
        <f t="shared" si="1"/>
        <v>0</v>
      </c>
      <c r="K8" s="1057" t="str">
        <f t="shared" si="0"/>
        <v/>
      </c>
      <c r="L8" s="1058"/>
    </row>
    <row r="9" spans="2:161" x14ac:dyDescent="0.25">
      <c r="B9" s="1045" t="s">
        <v>313</v>
      </c>
      <c r="C9" s="1052"/>
      <c r="D9" s="1052"/>
      <c r="E9" s="1052"/>
      <c r="F9" s="1052"/>
      <c r="G9" s="1053"/>
      <c r="H9" s="1059"/>
      <c r="I9" s="1060" t="str">
        <f>'1 - Main'!P41</f>
        <v/>
      </c>
      <c r="J9" s="1072">
        <f t="shared" si="1"/>
        <v>0</v>
      </c>
      <c r="K9" s="1057" t="str">
        <f t="shared" si="0"/>
        <v/>
      </c>
      <c r="L9" s="1058"/>
    </row>
    <row r="10" spans="2:161" x14ac:dyDescent="0.25">
      <c r="B10" s="1045" t="s">
        <v>314</v>
      </c>
      <c r="C10" s="1052"/>
      <c r="D10" s="1052"/>
      <c r="E10" s="1052"/>
      <c r="F10" s="1052"/>
      <c r="G10" s="1053"/>
      <c r="H10" s="1059"/>
      <c r="I10" s="1508">
        <f>'1 - Main'!P42</f>
        <v>0</v>
      </c>
      <c r="J10" s="1072">
        <f t="shared" si="1"/>
        <v>0</v>
      </c>
      <c r="K10" s="1057" t="str">
        <f t="shared" si="0"/>
        <v/>
      </c>
      <c r="L10" s="1058"/>
    </row>
    <row r="11" spans="2:161" x14ac:dyDescent="0.25">
      <c r="B11" s="1045" t="s">
        <v>315</v>
      </c>
      <c r="C11" s="1052"/>
      <c r="D11" s="1052"/>
      <c r="E11" s="1052"/>
      <c r="F11" s="1052"/>
      <c r="G11" s="1053"/>
      <c r="H11" s="1059"/>
      <c r="I11" s="1061">
        <f>'1 - Main'!P43</f>
        <v>0</v>
      </c>
      <c r="J11" s="1072">
        <f>G11</f>
        <v>0</v>
      </c>
      <c r="K11" s="1057" t="str">
        <f t="shared" si="0"/>
        <v/>
      </c>
      <c r="L11" s="1058"/>
    </row>
    <row r="12" spans="2:161" ht="14.25" customHeight="1" x14ac:dyDescent="0.25">
      <c r="B12" s="1045" t="s">
        <v>316</v>
      </c>
      <c r="C12" s="1052"/>
      <c r="D12" s="1052"/>
      <c r="E12" s="1052"/>
      <c r="F12" s="1052"/>
      <c r="G12" s="1053"/>
      <c r="H12" s="1059"/>
      <c r="I12" s="1060" t="str">
        <f>'1 - Main'!P44</f>
        <v/>
      </c>
      <c r="J12" s="1072">
        <f t="shared" si="1"/>
        <v>0</v>
      </c>
      <c r="K12" s="1057" t="str">
        <f t="shared" si="0"/>
        <v/>
      </c>
      <c r="L12" s="1058"/>
    </row>
    <row r="13" spans="2:161" ht="14.25" customHeight="1" x14ac:dyDescent="0.25">
      <c r="B13" s="1045" t="s">
        <v>52</v>
      </c>
      <c r="C13" s="1052"/>
      <c r="D13" s="1052"/>
      <c r="E13" s="1052"/>
      <c r="F13" s="1052"/>
      <c r="G13" s="1053"/>
      <c r="H13" s="1059"/>
      <c r="I13" s="1060" t="str">
        <f>'1 - Main'!P46</f>
        <v/>
      </c>
      <c r="J13" s="1072" t="str">
        <f>'1 - Main'!Q46</f>
        <v/>
      </c>
      <c r="K13" s="1057" t="str">
        <f t="shared" ref="K13" si="2">IF(H13="","",IFERROR(IF(J13=0,"",IF(J13=I13,"ONS",H13)),""))</f>
        <v/>
      </c>
      <c r="L13" s="1058"/>
    </row>
    <row r="14" spans="2:161" x14ac:dyDescent="0.25">
      <c r="B14" s="924"/>
      <c r="C14" s="1062"/>
      <c r="D14" s="1062"/>
      <c r="E14" s="1062"/>
      <c r="F14" s="1062"/>
      <c r="G14" s="1062"/>
      <c r="H14" s="1062"/>
      <c r="I14" s="1063"/>
      <c r="J14" s="1062"/>
      <c r="K14" s="1062"/>
    </row>
    <row r="15" spans="2:161" x14ac:dyDescent="0.25">
      <c r="B15" s="1050" t="s">
        <v>317</v>
      </c>
      <c r="C15" s="1050" t="s">
        <v>301</v>
      </c>
      <c r="D15" s="1050" t="str">
        <f>D3</f>
        <v>Month 1</v>
      </c>
      <c r="E15" s="1050" t="str">
        <f>E3</f>
        <v>Month 2</v>
      </c>
      <c r="F15" s="1050" t="str">
        <f>F3</f>
        <v>Month 3</v>
      </c>
      <c r="G15" s="1050" t="s">
        <v>305</v>
      </c>
      <c r="H15" s="1050" t="s">
        <v>181</v>
      </c>
      <c r="I15" s="1050" t="s">
        <v>124</v>
      </c>
      <c r="J15" s="1050" t="s">
        <v>306</v>
      </c>
      <c r="K15" s="1070"/>
      <c r="L15" s="1050" t="s">
        <v>277</v>
      </c>
    </row>
    <row r="16" spans="2:161" x14ac:dyDescent="0.25">
      <c r="B16" s="1064"/>
      <c r="C16" s="1065"/>
      <c r="D16" s="1065"/>
      <c r="E16" s="1065"/>
      <c r="F16" s="1065"/>
      <c r="G16" s="1066"/>
      <c r="H16" s="1038"/>
      <c r="I16" s="1067"/>
      <c r="J16" s="1072">
        <f t="shared" ref="J16:J23" si="3">G16</f>
        <v>0</v>
      </c>
      <c r="K16" s="1056" t="str">
        <f t="shared" ref="K16:K23" si="4">IF(J16=0,"",IF(J16=I16,"ONS",H16))</f>
        <v/>
      </c>
      <c r="L16" s="1058"/>
    </row>
    <row r="17" spans="2:12" x14ac:dyDescent="0.25">
      <c r="B17" s="1064"/>
      <c r="C17" s="1038"/>
      <c r="D17" s="1038"/>
      <c r="E17" s="1038"/>
      <c r="F17" s="1038"/>
      <c r="G17" s="1066"/>
      <c r="H17" s="1038"/>
      <c r="I17" s="1067"/>
      <c r="J17" s="1072">
        <f t="shared" si="3"/>
        <v>0</v>
      </c>
      <c r="K17" s="1056" t="str">
        <f t="shared" si="4"/>
        <v/>
      </c>
      <c r="L17" s="1058"/>
    </row>
    <row r="18" spans="2:12" x14ac:dyDescent="0.25">
      <c r="B18" s="1064"/>
      <c r="C18" s="1038"/>
      <c r="D18" s="1038"/>
      <c r="E18" s="1038"/>
      <c r="F18" s="1038"/>
      <c r="G18" s="1066"/>
      <c r="H18" s="1038"/>
      <c r="I18" s="1067"/>
      <c r="J18" s="1072">
        <f t="shared" si="3"/>
        <v>0</v>
      </c>
      <c r="K18" s="1056" t="str">
        <f t="shared" si="4"/>
        <v/>
      </c>
      <c r="L18" s="1058"/>
    </row>
    <row r="19" spans="2:12" x14ac:dyDescent="0.25">
      <c r="B19" s="1064"/>
      <c r="C19" s="1038"/>
      <c r="D19" s="1038"/>
      <c r="E19" s="1038"/>
      <c r="F19" s="1038"/>
      <c r="G19" s="1066"/>
      <c r="H19" s="1038"/>
      <c r="I19" s="1067"/>
      <c r="J19" s="1072">
        <f t="shared" si="3"/>
        <v>0</v>
      </c>
      <c r="K19" s="1056" t="str">
        <f t="shared" si="4"/>
        <v/>
      </c>
      <c r="L19" s="1058"/>
    </row>
    <row r="20" spans="2:12" x14ac:dyDescent="0.25">
      <c r="B20" s="1064"/>
      <c r="C20" s="1038"/>
      <c r="D20" s="1038"/>
      <c r="E20" s="1038"/>
      <c r="F20" s="1038"/>
      <c r="G20" s="1066"/>
      <c r="H20" s="1038"/>
      <c r="I20" s="1067"/>
      <c r="J20" s="1072">
        <f t="shared" si="3"/>
        <v>0</v>
      </c>
      <c r="K20" s="1056" t="str">
        <f t="shared" si="4"/>
        <v/>
      </c>
      <c r="L20" s="1058"/>
    </row>
    <row r="21" spans="2:12" x14ac:dyDescent="0.25">
      <c r="B21" s="1064"/>
      <c r="C21" s="1038"/>
      <c r="D21" s="1038"/>
      <c r="E21" s="1038"/>
      <c r="F21" s="1038"/>
      <c r="G21" s="1066"/>
      <c r="H21" s="1038"/>
      <c r="I21" s="1067"/>
      <c r="J21" s="1072">
        <f t="shared" si="3"/>
        <v>0</v>
      </c>
      <c r="K21" s="1056" t="str">
        <f t="shared" si="4"/>
        <v/>
      </c>
      <c r="L21" s="1058"/>
    </row>
    <row r="22" spans="2:12" x14ac:dyDescent="0.25">
      <c r="B22" s="1064"/>
      <c r="C22" s="1038"/>
      <c r="D22" s="1038"/>
      <c r="E22" s="1038"/>
      <c r="F22" s="1038"/>
      <c r="G22" s="1066"/>
      <c r="H22" s="1038"/>
      <c r="I22" s="1067"/>
      <c r="J22" s="1072">
        <f t="shared" si="3"/>
        <v>0</v>
      </c>
      <c r="K22" s="1056" t="str">
        <f t="shared" si="4"/>
        <v/>
      </c>
      <c r="L22" s="1058"/>
    </row>
    <row r="23" spans="2:12" x14ac:dyDescent="0.25">
      <c r="B23" s="1064"/>
      <c r="C23" s="1038"/>
      <c r="D23" s="1038"/>
      <c r="E23" s="1038"/>
      <c r="F23" s="1038"/>
      <c r="G23" s="1066"/>
      <c r="H23" s="1038"/>
      <c r="I23" s="1067"/>
      <c r="J23" s="1072">
        <f t="shared" si="3"/>
        <v>0</v>
      </c>
      <c r="K23" s="1056" t="str">
        <f t="shared" si="4"/>
        <v/>
      </c>
      <c r="L23" s="1058"/>
    </row>
    <row r="24" spans="2:12" x14ac:dyDescent="0.25">
      <c r="B24" s="1068" t="s">
        <v>318</v>
      </c>
      <c r="C24" s="1056"/>
      <c r="D24" s="1056"/>
      <c r="E24" s="1056"/>
      <c r="F24" s="1056"/>
      <c r="G24" s="1056"/>
      <c r="H24" s="1056"/>
      <c r="I24" s="1067">
        <v>0</v>
      </c>
      <c r="J24" s="1072">
        <f>SUM(J16:J23)</f>
        <v>0</v>
      </c>
      <c r="K24" s="1056"/>
      <c r="L24" s="1069"/>
    </row>
    <row r="26" spans="2:12" s="926" customFormat="1" ht="15.75" x14ac:dyDescent="0.25">
      <c r="B26" s="1692" t="s">
        <v>70</v>
      </c>
      <c r="C26" s="1692"/>
      <c r="D26" s="1692"/>
      <c r="E26" s="1692"/>
      <c r="F26" s="1692"/>
      <c r="G26" s="1692"/>
      <c r="H26" s="1692"/>
      <c r="I26" s="1692"/>
      <c r="J26" s="1071">
        <f>SUM(J4:J13)+J24</f>
        <v>0</v>
      </c>
      <c r="K26" s="925"/>
    </row>
  </sheetData>
  <sheetProtection algorithmName="SHA-512" hashValue="FTTqP9LF+xmDORmve+3JD1u6PuHHlLaIkkrl39WAFZch1vCY91hSFBcmz1nL0AXJh2hqiDpBQyNP1sRlcUNveg==" saltValue="PF0xGW8Km7GPcGaWvd4xbw==" spinCount="100000" sheet="1" objects="1" scenarios="1"/>
  <mergeCells count="2">
    <mergeCell ref="B26:I26"/>
    <mergeCell ref="B1:E1"/>
  </mergeCells>
  <dataValidations count="1">
    <dataValidation type="list" allowBlank="1" showInputMessage="1" showErrorMessage="1" sqref="H16:H23 H4:H13" xr:uid="{CC63B71B-7EC5-4D58-AE7F-263E0B847FA6}">
      <formula1>$P$1:$P$3</formula1>
    </dataValidation>
  </dataValidations>
  <pageMargins left="0.7" right="0.7" top="0.75" bottom="0.75" header="0.3" footer="0.3"/>
  <pageSetup paperSize="9" scale="5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rgb="FF00B0F0"/>
  </sheetPr>
  <dimension ref="A1:P324"/>
  <sheetViews>
    <sheetView zoomScaleNormal="100" workbookViewId="0">
      <selection activeCell="B5" sqref="B5"/>
    </sheetView>
  </sheetViews>
  <sheetFormatPr defaultColWidth="16.28515625" defaultRowHeight="15" x14ac:dyDescent="0.25"/>
  <cols>
    <col min="1" max="1" width="58.85546875" bestFit="1" customWidth="1"/>
    <col min="2" max="2" width="12.7109375" bestFit="1" customWidth="1"/>
    <col min="3" max="3" width="11.140625" customWidth="1"/>
    <col min="4" max="4" width="11.140625" bestFit="1" customWidth="1"/>
    <col min="5" max="5" width="11.140625" customWidth="1"/>
    <col min="6" max="6" width="11.140625" hidden="1" customWidth="1"/>
    <col min="7" max="7" width="11.140625" customWidth="1"/>
    <col min="8" max="8" width="20" bestFit="1" customWidth="1"/>
    <col min="9" max="9" width="12.5703125" bestFit="1" customWidth="1"/>
    <col min="10" max="10" width="11.140625" customWidth="1"/>
    <col min="11" max="11" width="2.85546875" customWidth="1"/>
    <col min="12" max="12" width="29.7109375" customWidth="1"/>
    <col min="13" max="13" width="69.5703125" customWidth="1"/>
    <col min="14" max="14" width="25.140625" bestFit="1" customWidth="1"/>
    <col min="16" max="16" width="24.42578125" bestFit="1" customWidth="1"/>
  </cols>
  <sheetData>
    <row r="1" spans="1:16" s="1164" customFormat="1" ht="32.25" customHeight="1" x14ac:dyDescent="0.25">
      <c r="A1" s="1694" t="s">
        <v>319</v>
      </c>
      <c r="B1" s="1694"/>
      <c r="C1" s="1694"/>
      <c r="D1" s="1694"/>
      <c r="E1" s="1694"/>
      <c r="F1" s="1694"/>
      <c r="G1" s="1694"/>
      <c r="H1" s="1517"/>
      <c r="I1" s="1517"/>
      <c r="J1" s="1517"/>
      <c r="K1" s="1163"/>
      <c r="L1" s="1163"/>
      <c r="M1" s="1163"/>
      <c r="N1" s="1163"/>
      <c r="O1" s="1163"/>
    </row>
    <row r="2" spans="1:16" s="1166" customFormat="1" ht="15.75" customHeight="1" x14ac:dyDescent="0.3">
      <c r="A2" s="1165"/>
      <c r="B2" s="1165"/>
      <c r="C2" s="1165"/>
      <c r="D2" s="1165"/>
      <c r="E2" s="1165"/>
      <c r="F2" s="1165"/>
      <c r="G2" s="1165"/>
      <c r="H2" s="1165"/>
      <c r="I2" s="1165"/>
      <c r="J2" s="1165"/>
    </row>
    <row r="3" spans="1:16" s="1167" customFormat="1" ht="60" x14ac:dyDescent="0.3">
      <c r="A3" s="1547" t="s">
        <v>1819</v>
      </c>
      <c r="B3" s="1520" t="s">
        <v>320</v>
      </c>
      <c r="C3" s="1520" t="s">
        <v>321</v>
      </c>
      <c r="D3" s="1520" t="s">
        <v>322</v>
      </c>
      <c r="E3" s="1520" t="s">
        <v>323</v>
      </c>
      <c r="F3" s="1520" t="s">
        <v>324</v>
      </c>
      <c r="G3" s="1520" t="s">
        <v>325</v>
      </c>
      <c r="H3" s="1520" t="s">
        <v>1820</v>
      </c>
      <c r="I3" s="1520" t="s">
        <v>1822</v>
      </c>
      <c r="J3" s="1520" t="s">
        <v>1821</v>
      </c>
      <c r="L3" s="1695" t="s">
        <v>1824</v>
      </c>
      <c r="M3" s="1695"/>
      <c r="N3" s="13"/>
      <c r="O3" s="13"/>
      <c r="P3" s="13"/>
    </row>
    <row r="4" spans="1:16" s="1166" customFormat="1" ht="30" x14ac:dyDescent="0.25">
      <c r="A4" s="1548"/>
      <c r="B4" s="1521"/>
      <c r="C4" s="1522"/>
      <c r="D4" s="1523"/>
      <c r="E4" s="1524">
        <f t="shared" ref="E4:E14" si="0">ROUND(+B4*C4,0)</f>
        <v>0</v>
      </c>
      <c r="F4" s="1525">
        <f t="shared" ref="F4:F14" si="1">D4-E4</f>
        <v>0</v>
      </c>
      <c r="G4" s="1526" t="str">
        <f t="shared" ref="G4:G14" si="2">IFERROR(D4/E4,"")</f>
        <v/>
      </c>
      <c r="H4" s="1550"/>
      <c r="I4" s="1527">
        <f t="shared" ref="I4:I14" si="3">E4*H4</f>
        <v>0</v>
      </c>
      <c r="J4" s="1528">
        <f>SUM(D4-I4)/12</f>
        <v>0</v>
      </c>
      <c r="L4" s="1543" t="s">
        <v>1825</v>
      </c>
      <c r="M4" s="1539" t="s">
        <v>1826</v>
      </c>
      <c r="N4" s="1535"/>
      <c r="O4" s="1536"/>
      <c r="P4" s="1535"/>
    </row>
    <row r="5" spans="1:16" s="1166" customFormat="1" ht="45" x14ac:dyDescent="0.25">
      <c r="A5" s="1548"/>
      <c r="B5" s="1521"/>
      <c r="C5" s="1522"/>
      <c r="D5" s="1523"/>
      <c r="E5" s="1524">
        <f t="shared" si="0"/>
        <v>0</v>
      </c>
      <c r="F5" s="1525">
        <f t="shared" si="1"/>
        <v>0</v>
      </c>
      <c r="G5" s="1526" t="str">
        <f t="shared" si="2"/>
        <v/>
      </c>
      <c r="H5" s="1550"/>
      <c r="I5" s="1527">
        <f t="shared" si="3"/>
        <v>0</v>
      </c>
      <c r="J5" s="1528">
        <f t="shared" ref="J5:J14" si="4">SUM(D5-I5)/12</f>
        <v>0</v>
      </c>
      <c r="L5" s="1544" t="s">
        <v>1827</v>
      </c>
      <c r="M5" s="1539" t="s">
        <v>1838</v>
      </c>
      <c r="N5"/>
      <c r="O5" s="1536"/>
      <c r="P5"/>
    </row>
    <row r="6" spans="1:16" s="1166" customFormat="1" x14ac:dyDescent="0.25">
      <c r="A6" s="1548"/>
      <c r="B6" s="1521"/>
      <c r="C6" s="1522"/>
      <c r="D6" s="1523"/>
      <c r="E6" s="1524">
        <f t="shared" ref="E6:E7" si="5">ROUND(+B6*C6,0)</f>
        <v>0</v>
      </c>
      <c r="F6" s="1525">
        <f t="shared" ref="F6" si="6">D6-E6</f>
        <v>0</v>
      </c>
      <c r="G6" s="1526" t="str">
        <f t="shared" ref="G6:G7" si="7">IFERROR(D6/E6,"")</f>
        <v/>
      </c>
      <c r="H6" s="1550"/>
      <c r="I6" s="1527">
        <f t="shared" si="3"/>
        <v>0</v>
      </c>
      <c r="J6" s="1528">
        <f t="shared" si="4"/>
        <v>0</v>
      </c>
      <c r="L6" s="1544" t="s">
        <v>322</v>
      </c>
      <c r="M6" s="1539" t="s">
        <v>1828</v>
      </c>
      <c r="N6"/>
      <c r="O6" s="1536"/>
      <c r="P6"/>
    </row>
    <row r="7" spans="1:16" s="1166" customFormat="1" x14ac:dyDescent="0.25">
      <c r="A7" s="1549"/>
      <c r="B7" s="1521"/>
      <c r="C7" s="1522"/>
      <c r="D7" s="1523"/>
      <c r="E7" s="1524">
        <f t="shared" si="5"/>
        <v>0</v>
      </c>
      <c r="F7" s="1529"/>
      <c r="G7" s="1526" t="str">
        <f t="shared" si="7"/>
        <v/>
      </c>
      <c r="H7" s="1550"/>
      <c r="I7" s="1527">
        <f t="shared" si="3"/>
        <v>0</v>
      </c>
      <c r="J7" s="1528">
        <f t="shared" si="4"/>
        <v>0</v>
      </c>
      <c r="L7" s="1543" t="s">
        <v>142</v>
      </c>
      <c r="M7" s="1540" t="s">
        <v>1829</v>
      </c>
      <c r="N7" s="1535"/>
      <c r="O7" s="1537"/>
      <c r="P7" s="1535"/>
    </row>
    <row r="8" spans="1:16" s="1166" customFormat="1" x14ac:dyDescent="0.25">
      <c r="A8" s="1548"/>
      <c r="B8" s="1521"/>
      <c r="C8" s="1522"/>
      <c r="D8" s="1523"/>
      <c r="E8" s="1524">
        <f>ROUND(+B8*C8,0)</f>
        <v>0</v>
      </c>
      <c r="F8" s="1525">
        <f>D8-E8</f>
        <v>0</v>
      </c>
      <c r="G8" s="1526" t="str">
        <f>IFERROR(D8/E8,"")</f>
        <v/>
      </c>
      <c r="H8" s="1550"/>
      <c r="I8" s="1527">
        <f t="shared" si="3"/>
        <v>0</v>
      </c>
      <c r="J8" s="1528">
        <f t="shared" si="4"/>
        <v>0</v>
      </c>
      <c r="L8" s="1543" t="s">
        <v>325</v>
      </c>
      <c r="M8" s="1540" t="s">
        <v>1830</v>
      </c>
      <c r="N8" s="1535"/>
      <c r="O8" s="1537"/>
      <c r="P8" s="1535"/>
    </row>
    <row r="9" spans="1:16" s="1166" customFormat="1" x14ac:dyDescent="0.25">
      <c r="A9" s="1548"/>
      <c r="B9" s="1521"/>
      <c r="C9" s="1522"/>
      <c r="D9" s="1523"/>
      <c r="E9" s="1524">
        <f>ROUND(+B9*C9,0)</f>
        <v>0</v>
      </c>
      <c r="F9" s="1525">
        <f>D9-E9</f>
        <v>0</v>
      </c>
      <c r="G9" s="1526" t="str">
        <f>IFERROR(D9/E9,"")</f>
        <v/>
      </c>
      <c r="H9" s="1550"/>
      <c r="I9" s="1527">
        <f t="shared" si="3"/>
        <v>0</v>
      </c>
      <c r="J9" s="1528">
        <f t="shared" si="4"/>
        <v>0</v>
      </c>
      <c r="L9" s="1543" t="s">
        <v>1820</v>
      </c>
      <c r="M9" s="1541" t="s">
        <v>1831</v>
      </c>
      <c r="N9"/>
      <c r="O9"/>
      <c r="P9"/>
    </row>
    <row r="10" spans="1:16" s="1166" customFormat="1" ht="30" x14ac:dyDescent="0.25">
      <c r="A10" s="1548"/>
      <c r="B10" s="1521"/>
      <c r="C10" s="1522"/>
      <c r="D10" s="1523"/>
      <c r="E10" s="1524">
        <f t="shared" si="0"/>
        <v>0</v>
      </c>
      <c r="F10" s="1525">
        <f t="shared" si="1"/>
        <v>0</v>
      </c>
      <c r="G10" s="1526" t="str">
        <f t="shared" si="2"/>
        <v/>
      </c>
      <c r="H10" s="1550"/>
      <c r="I10" s="1527">
        <f t="shared" si="3"/>
        <v>0</v>
      </c>
      <c r="J10" s="1528">
        <f t="shared" si="4"/>
        <v>0</v>
      </c>
      <c r="L10" s="1543" t="s">
        <v>1822</v>
      </c>
      <c r="M10" s="1540" t="s">
        <v>1832</v>
      </c>
      <c r="N10" s="1535"/>
      <c r="O10" s="1536"/>
      <c r="P10" s="1535"/>
    </row>
    <row r="11" spans="1:16" s="1166" customFormat="1" x14ac:dyDescent="0.25">
      <c r="A11" s="1548"/>
      <c r="B11" s="1521"/>
      <c r="C11" s="1522"/>
      <c r="D11" s="1523"/>
      <c r="E11" s="1524">
        <f t="shared" si="0"/>
        <v>0</v>
      </c>
      <c r="F11" s="1525">
        <f t="shared" si="1"/>
        <v>0</v>
      </c>
      <c r="G11" s="1526" t="str">
        <f t="shared" si="2"/>
        <v/>
      </c>
      <c r="H11" s="1550"/>
      <c r="I11" s="1527">
        <f t="shared" si="3"/>
        <v>0</v>
      </c>
      <c r="J11" s="1528">
        <f t="shared" si="4"/>
        <v>0</v>
      </c>
      <c r="L11" s="1544" t="s">
        <v>1821</v>
      </c>
      <c r="M11" s="1539" t="s">
        <v>1833</v>
      </c>
      <c r="N11"/>
      <c r="O11" s="1536"/>
      <c r="P11"/>
    </row>
    <row r="12" spans="1:16" s="1166" customFormat="1" ht="30" x14ac:dyDescent="0.25">
      <c r="A12" s="1548"/>
      <c r="B12" s="1521"/>
      <c r="C12" s="1522"/>
      <c r="D12" s="1523"/>
      <c r="E12" s="1524">
        <f t="shared" si="0"/>
        <v>0</v>
      </c>
      <c r="F12" s="1525">
        <f t="shared" si="1"/>
        <v>0</v>
      </c>
      <c r="G12" s="1526" t="str">
        <f t="shared" si="2"/>
        <v/>
      </c>
      <c r="H12" s="1550"/>
      <c r="I12" s="1527">
        <f t="shared" si="3"/>
        <v>0</v>
      </c>
      <c r="J12" s="1528">
        <f t="shared" si="4"/>
        <v>0</v>
      </c>
      <c r="L12" s="1543" t="s">
        <v>1834</v>
      </c>
      <c r="M12" s="1539" t="s">
        <v>1835</v>
      </c>
      <c r="N12"/>
      <c r="O12" s="1536"/>
      <c r="P12"/>
    </row>
    <row r="13" spans="1:16" s="1166" customFormat="1" x14ac:dyDescent="0.25">
      <c r="A13" s="1548"/>
      <c r="B13" s="1521"/>
      <c r="C13" s="1522"/>
      <c r="D13" s="1523"/>
      <c r="E13" s="1524">
        <f t="shared" si="0"/>
        <v>0</v>
      </c>
      <c r="F13" s="1525">
        <f t="shared" si="1"/>
        <v>0</v>
      </c>
      <c r="G13" s="1526" t="str">
        <f t="shared" si="2"/>
        <v/>
      </c>
      <c r="H13" s="1550"/>
      <c r="I13" s="1527">
        <f t="shared" si="3"/>
        <v>0</v>
      </c>
      <c r="J13" s="1528">
        <f t="shared" si="4"/>
        <v>0</v>
      </c>
      <c r="L13" s="1535"/>
      <c r="M13" s="1537"/>
      <c r="N13" s="1535"/>
      <c r="O13" s="1537"/>
      <c r="P13" s="1535"/>
    </row>
    <row r="14" spans="1:16" s="1166" customFormat="1" ht="18.75" x14ac:dyDescent="0.3">
      <c r="A14" s="1548"/>
      <c r="B14" s="1521"/>
      <c r="C14" s="1522"/>
      <c r="D14" s="1523"/>
      <c r="E14" s="1524">
        <f t="shared" si="0"/>
        <v>0</v>
      </c>
      <c r="F14" s="1525">
        <f t="shared" si="1"/>
        <v>0</v>
      </c>
      <c r="G14" s="1526" t="str">
        <f t="shared" si="2"/>
        <v/>
      </c>
      <c r="H14" s="1550"/>
      <c r="I14" s="1527">
        <f t="shared" si="3"/>
        <v>0</v>
      </c>
      <c r="J14" s="1528">
        <f t="shared" si="4"/>
        <v>0</v>
      </c>
      <c r="L14" s="1696" t="s">
        <v>1837</v>
      </c>
      <c r="M14" s="1696"/>
      <c r="N14" s="1535"/>
      <c r="O14" s="1537"/>
      <c r="P14" s="1535"/>
    </row>
    <row r="15" spans="1:16" s="1166" customFormat="1" x14ac:dyDescent="0.25">
      <c r="A15" s="1472"/>
      <c r="B15" s="1473"/>
      <c r="C15" s="1473"/>
      <c r="D15" s="1473"/>
      <c r="E15" s="1473"/>
      <c r="F15" s="1474"/>
      <c r="G15" s="1475"/>
      <c r="H15" s="1475"/>
      <c r="I15" s="1475"/>
      <c r="J15" s="1475"/>
      <c r="L15" s="1545" t="s">
        <v>1820</v>
      </c>
      <c r="M15" s="1545" t="s">
        <v>1836</v>
      </c>
      <c r="N15"/>
      <c r="O15"/>
      <c r="P15"/>
    </row>
    <row r="16" spans="1:16" s="1166" customFormat="1" x14ac:dyDescent="0.25">
      <c r="A16" s="1471" t="s">
        <v>1823</v>
      </c>
      <c r="B16" s="1530"/>
      <c r="C16" s="1531"/>
      <c r="D16" s="1530"/>
      <c r="E16" s="1530"/>
      <c r="F16" s="1532">
        <f>SUM(F4:F14)</f>
        <v>0</v>
      </c>
      <c r="G16" s="1533"/>
      <c r="H16" s="1534"/>
      <c r="I16" s="1534"/>
      <c r="J16" s="1519">
        <f>SUM(J4:J14)</f>
        <v>0</v>
      </c>
      <c r="L16" s="1546">
        <v>1.25</v>
      </c>
      <c r="M16" s="1542" t="s">
        <v>1813</v>
      </c>
      <c r="N16" s="1535"/>
      <c r="O16" s="1538"/>
      <c r="P16"/>
    </row>
    <row r="17" spans="1:13" ht="20.25" customHeight="1" x14ac:dyDescent="0.25">
      <c r="A17" s="1166"/>
      <c r="B17" s="1166"/>
      <c r="C17" s="1166"/>
      <c r="D17" s="1166"/>
      <c r="E17" s="1166"/>
      <c r="F17" s="1166"/>
      <c r="G17" s="1166"/>
      <c r="H17" s="1166"/>
      <c r="I17" s="1166"/>
      <c r="J17" s="1166"/>
      <c r="L17" s="1546">
        <v>1.4</v>
      </c>
      <c r="M17" s="1542" t="s">
        <v>1814</v>
      </c>
    </row>
    <row r="18" spans="1:13" s="582" customFormat="1" ht="21" x14ac:dyDescent="0.35">
      <c r="A18" s="1168" t="s">
        <v>326</v>
      </c>
      <c r="B18" s="1169"/>
      <c r="C18" s="1169"/>
      <c r="D18" s="1169"/>
      <c r="E18" s="1169"/>
      <c r="F18" s="1169"/>
      <c r="G18" s="1169"/>
      <c r="H18" s="1169"/>
      <c r="I18" s="1169"/>
      <c r="J18" s="1169"/>
      <c r="L18" s="1546">
        <v>1.45</v>
      </c>
      <c r="M18" s="1542" t="s">
        <v>1815</v>
      </c>
    </row>
    <row r="19" spans="1:13" s="582" customFormat="1" x14ac:dyDescent="0.25">
      <c r="L19" s="1546">
        <v>1.6</v>
      </c>
      <c r="M19" s="116" t="s">
        <v>1816</v>
      </c>
    </row>
    <row r="20" spans="1:13" s="582" customFormat="1" x14ac:dyDescent="0.25">
      <c r="L20" s="1546">
        <v>1.5</v>
      </c>
      <c r="M20" s="1542" t="s">
        <v>1817</v>
      </c>
    </row>
    <row r="21" spans="1:13" s="582" customFormat="1" x14ac:dyDescent="0.25">
      <c r="B21" s="1115"/>
      <c r="L21" s="1546">
        <v>1.65</v>
      </c>
      <c r="M21" s="1542" t="s">
        <v>1818</v>
      </c>
    </row>
    <row r="22" spans="1:13" s="582" customFormat="1" x14ac:dyDescent="0.25">
      <c r="L22"/>
    </row>
    <row r="23" spans="1:13" s="582" customFormat="1" x14ac:dyDescent="0.25">
      <c r="L23" s="1551"/>
    </row>
    <row r="24" spans="1:13" s="582" customFormat="1" x14ac:dyDescent="0.25">
      <c r="L24" s="1551"/>
    </row>
    <row r="25" spans="1:13" s="582" customFormat="1" x14ac:dyDescent="0.25"/>
    <row r="26" spans="1:13" s="582" customFormat="1" x14ac:dyDescent="0.25"/>
    <row r="27" spans="1:13" s="582" customFormat="1" x14ac:dyDescent="0.25"/>
    <row r="28" spans="1:13" s="582" customFormat="1" x14ac:dyDescent="0.25"/>
    <row r="29" spans="1:13" s="582" customFormat="1" x14ac:dyDescent="0.25"/>
    <row r="30" spans="1:13" s="582" customFormat="1" x14ac:dyDescent="0.25"/>
    <row r="31" spans="1:13" s="582" customFormat="1" x14ac:dyDescent="0.25"/>
    <row r="32" spans="1:13" s="582" customFormat="1" x14ac:dyDescent="0.25"/>
    <row r="33" s="582" customFormat="1" x14ac:dyDescent="0.25"/>
    <row r="34" s="582" customFormat="1" x14ac:dyDescent="0.25"/>
    <row r="35" s="582" customFormat="1" x14ac:dyDescent="0.25"/>
    <row r="36" s="582" customFormat="1" x14ac:dyDescent="0.25"/>
    <row r="37" s="582" customFormat="1" x14ac:dyDescent="0.25"/>
    <row r="38" s="582" customFormat="1" x14ac:dyDescent="0.25"/>
    <row r="39" s="582" customFormat="1" x14ac:dyDescent="0.25"/>
    <row r="40" s="582" customFormat="1" x14ac:dyDescent="0.25"/>
    <row r="41" s="582" customFormat="1" x14ac:dyDescent="0.25"/>
    <row r="42" s="582" customFormat="1" x14ac:dyDescent="0.25"/>
    <row r="43" s="582" customFormat="1" x14ac:dyDescent="0.25"/>
    <row r="44" s="582" customFormat="1" x14ac:dyDescent="0.25"/>
    <row r="45" s="582" customFormat="1" x14ac:dyDescent="0.25"/>
    <row r="46" s="582" customFormat="1" x14ac:dyDescent="0.25"/>
    <row r="47" s="582" customFormat="1" x14ac:dyDescent="0.25"/>
    <row r="48" s="582" customFormat="1" x14ac:dyDescent="0.25"/>
    <row r="49" s="582" customFormat="1" x14ac:dyDescent="0.25"/>
    <row r="50" s="582" customFormat="1" x14ac:dyDescent="0.25"/>
    <row r="51" s="582" customFormat="1" x14ac:dyDescent="0.25"/>
    <row r="52" s="582" customFormat="1" x14ac:dyDescent="0.25"/>
    <row r="53" s="582" customFormat="1" x14ac:dyDescent="0.25"/>
    <row r="54" s="582" customFormat="1" x14ac:dyDescent="0.25"/>
    <row r="55" s="582" customFormat="1" x14ac:dyDescent="0.25"/>
    <row r="56" s="582" customFormat="1" x14ac:dyDescent="0.25"/>
    <row r="57" s="582" customFormat="1" x14ac:dyDescent="0.25"/>
    <row r="58" s="582" customFormat="1" x14ac:dyDescent="0.25"/>
    <row r="59" s="582" customFormat="1" x14ac:dyDescent="0.25"/>
    <row r="60" s="582" customFormat="1" x14ac:dyDescent="0.25"/>
    <row r="61" s="582" customFormat="1" x14ac:dyDescent="0.25"/>
    <row r="62" s="582" customFormat="1" x14ac:dyDescent="0.25"/>
    <row r="63" s="582" customFormat="1" x14ac:dyDescent="0.25"/>
    <row r="64" s="582" customFormat="1" x14ac:dyDescent="0.25"/>
    <row r="65" s="582" customFormat="1" x14ac:dyDescent="0.25"/>
    <row r="66" s="582" customFormat="1" x14ac:dyDescent="0.25"/>
    <row r="67" s="582" customFormat="1" x14ac:dyDescent="0.25"/>
    <row r="68" s="582" customFormat="1" x14ac:dyDescent="0.25"/>
    <row r="69" s="582" customFormat="1" x14ac:dyDescent="0.25"/>
    <row r="70" s="582" customFormat="1" x14ac:dyDescent="0.25"/>
    <row r="71" s="582" customFormat="1" x14ac:dyDescent="0.25"/>
    <row r="72" s="582" customFormat="1" x14ac:dyDescent="0.25"/>
    <row r="73" s="582" customFormat="1" x14ac:dyDescent="0.25"/>
    <row r="74" s="582" customFormat="1" x14ac:dyDescent="0.25"/>
    <row r="75" s="582" customFormat="1" x14ac:dyDescent="0.25"/>
    <row r="76" s="582" customFormat="1" x14ac:dyDescent="0.25"/>
    <row r="77" s="582" customFormat="1" x14ac:dyDescent="0.25"/>
    <row r="78" s="582" customFormat="1" x14ac:dyDescent="0.25"/>
    <row r="79" s="582" customFormat="1" x14ac:dyDescent="0.25"/>
    <row r="80" s="582" customFormat="1" x14ac:dyDescent="0.25"/>
    <row r="81" s="582" customFormat="1" x14ac:dyDescent="0.25"/>
    <row r="82" s="582" customFormat="1" x14ac:dyDescent="0.25"/>
    <row r="83" s="582" customFormat="1" x14ac:dyDescent="0.25"/>
    <row r="84" s="582" customFormat="1" x14ac:dyDescent="0.25"/>
    <row r="85" s="582" customFormat="1" x14ac:dyDescent="0.25"/>
    <row r="86" s="582" customFormat="1" x14ac:dyDescent="0.25"/>
    <row r="87" s="582" customFormat="1" x14ac:dyDescent="0.25"/>
    <row r="88" s="582" customFormat="1" x14ac:dyDescent="0.25"/>
    <row r="89" s="582" customFormat="1" x14ac:dyDescent="0.25"/>
    <row r="90" s="582" customFormat="1" x14ac:dyDescent="0.25"/>
    <row r="91" s="582" customFormat="1" x14ac:dyDescent="0.25"/>
    <row r="92" s="582" customFormat="1" x14ac:dyDescent="0.25"/>
    <row r="93" s="582" customFormat="1" x14ac:dyDescent="0.25"/>
    <row r="94" s="582" customFormat="1" x14ac:dyDescent="0.25"/>
    <row r="95" s="582" customFormat="1" x14ac:dyDescent="0.25"/>
    <row r="96" s="582" customFormat="1" x14ac:dyDescent="0.25"/>
    <row r="97" s="582" customFormat="1" x14ac:dyDescent="0.25"/>
    <row r="98" s="582" customFormat="1" x14ac:dyDescent="0.25"/>
    <row r="99" s="582" customFormat="1" x14ac:dyDescent="0.25"/>
    <row r="100" s="582" customFormat="1" x14ac:dyDescent="0.25"/>
    <row r="101" s="582" customFormat="1" x14ac:dyDescent="0.25"/>
    <row r="102" s="582" customFormat="1" x14ac:dyDescent="0.25"/>
    <row r="103" s="582" customFormat="1" x14ac:dyDescent="0.25"/>
    <row r="104" s="582" customFormat="1" x14ac:dyDescent="0.25"/>
    <row r="105" s="582" customFormat="1" x14ac:dyDescent="0.25"/>
    <row r="106" s="582" customFormat="1" x14ac:dyDescent="0.25"/>
    <row r="107" s="582" customFormat="1" x14ac:dyDescent="0.25"/>
    <row r="108" s="582" customFormat="1" x14ac:dyDescent="0.25"/>
    <row r="109" s="582" customFormat="1" x14ac:dyDescent="0.25"/>
    <row r="110" s="582" customFormat="1" x14ac:dyDescent="0.25"/>
    <row r="111" s="582" customFormat="1" x14ac:dyDescent="0.25"/>
    <row r="112" s="582" customFormat="1" x14ac:dyDescent="0.25"/>
    <row r="113" s="582" customFormat="1" x14ac:dyDescent="0.25"/>
    <row r="114" s="582" customFormat="1" x14ac:dyDescent="0.25"/>
    <row r="115" s="582" customFormat="1" x14ac:dyDescent="0.25"/>
    <row r="116" s="582" customFormat="1" x14ac:dyDescent="0.25"/>
    <row r="117" s="582" customFormat="1" x14ac:dyDescent="0.25"/>
    <row r="118" s="582" customFormat="1" x14ac:dyDescent="0.25"/>
    <row r="119" s="582" customFormat="1" x14ac:dyDescent="0.25"/>
    <row r="120" s="582" customFormat="1" x14ac:dyDescent="0.25"/>
    <row r="121" s="582" customFormat="1" x14ac:dyDescent="0.25"/>
    <row r="122" s="582" customFormat="1" x14ac:dyDescent="0.25"/>
    <row r="123" s="582" customFormat="1" x14ac:dyDescent="0.25"/>
    <row r="124" s="582" customFormat="1" x14ac:dyDescent="0.25"/>
    <row r="125" s="582" customFormat="1" x14ac:dyDescent="0.25"/>
    <row r="126" s="582" customFormat="1" x14ac:dyDescent="0.25"/>
    <row r="127" s="582" customFormat="1" x14ac:dyDescent="0.25"/>
    <row r="128" s="582" customFormat="1" x14ac:dyDescent="0.25"/>
    <row r="129" s="582" customFormat="1" x14ac:dyDescent="0.25"/>
    <row r="130" s="582" customFormat="1" x14ac:dyDescent="0.25"/>
    <row r="131" s="582" customFormat="1" x14ac:dyDescent="0.25"/>
    <row r="132" s="582" customFormat="1" x14ac:dyDescent="0.25"/>
    <row r="133" s="582" customFormat="1" x14ac:dyDescent="0.25"/>
    <row r="134" s="582" customFormat="1" x14ac:dyDescent="0.25"/>
    <row r="135" s="582" customFormat="1" x14ac:dyDescent="0.25"/>
    <row r="136" s="582" customFormat="1" x14ac:dyDescent="0.25"/>
    <row r="137" s="582" customFormat="1" x14ac:dyDescent="0.25"/>
    <row r="138" s="582" customFormat="1" x14ac:dyDescent="0.25"/>
    <row r="139" s="582" customFormat="1" x14ac:dyDescent="0.25"/>
    <row r="140" s="582" customFormat="1" x14ac:dyDescent="0.25"/>
    <row r="141" s="582" customFormat="1" x14ac:dyDescent="0.25"/>
    <row r="142" s="582" customFormat="1" x14ac:dyDescent="0.25"/>
    <row r="143" s="582" customFormat="1" x14ac:dyDescent="0.25"/>
    <row r="144" s="582" customFormat="1" x14ac:dyDescent="0.25"/>
    <row r="145" s="582" customFormat="1" x14ac:dyDescent="0.25"/>
    <row r="146" s="582" customFormat="1" x14ac:dyDescent="0.25"/>
    <row r="147" s="582" customFormat="1" x14ac:dyDescent="0.25"/>
    <row r="148" s="582" customFormat="1" x14ac:dyDescent="0.25"/>
    <row r="149" s="582" customFormat="1" x14ac:dyDescent="0.25"/>
    <row r="150" s="582" customFormat="1" x14ac:dyDescent="0.25"/>
    <row r="151" s="582" customFormat="1" x14ac:dyDescent="0.25"/>
    <row r="152" s="582" customFormat="1" x14ac:dyDescent="0.25"/>
    <row r="153" s="582" customFormat="1" x14ac:dyDescent="0.25"/>
    <row r="154" s="582" customFormat="1" x14ac:dyDescent="0.25"/>
    <row r="155" s="582" customFormat="1" x14ac:dyDescent="0.25"/>
    <row r="156" s="582" customFormat="1" x14ac:dyDescent="0.25"/>
    <row r="157" s="582" customFormat="1" x14ac:dyDescent="0.25"/>
    <row r="158" s="582" customFormat="1" x14ac:dyDescent="0.25"/>
    <row r="159" s="582" customFormat="1" x14ac:dyDescent="0.25"/>
    <row r="160" s="582" customFormat="1" x14ac:dyDescent="0.25"/>
    <row r="161" s="582" customFormat="1" x14ac:dyDescent="0.25"/>
    <row r="162" s="582" customFormat="1" x14ac:dyDescent="0.25"/>
    <row r="163" s="582" customFormat="1" x14ac:dyDescent="0.25"/>
    <row r="164" s="582" customFormat="1" x14ac:dyDescent="0.25"/>
    <row r="165" s="582" customFormat="1" x14ac:dyDescent="0.25"/>
    <row r="166" s="582" customFormat="1" x14ac:dyDescent="0.25"/>
    <row r="167" s="582" customFormat="1" x14ac:dyDescent="0.25"/>
    <row r="168" s="582" customFormat="1" x14ac:dyDescent="0.25"/>
    <row r="169" s="582" customFormat="1" x14ac:dyDescent="0.25"/>
    <row r="170" s="582" customFormat="1" x14ac:dyDescent="0.25"/>
    <row r="171" s="582" customFormat="1" x14ac:dyDescent="0.25"/>
    <row r="172" s="582" customFormat="1" x14ac:dyDescent="0.25"/>
    <row r="173" s="582" customFormat="1" x14ac:dyDescent="0.25"/>
    <row r="174" s="582" customFormat="1" x14ac:dyDescent="0.25"/>
    <row r="175" s="582" customFormat="1" x14ac:dyDescent="0.25"/>
    <row r="176" s="582" customFormat="1" x14ac:dyDescent="0.25"/>
    <row r="177" s="582" customFormat="1" x14ac:dyDescent="0.25"/>
    <row r="178" s="582" customFormat="1" x14ac:dyDescent="0.25"/>
    <row r="179" s="582" customFormat="1" x14ac:dyDescent="0.25"/>
    <row r="180" s="582" customFormat="1" x14ac:dyDescent="0.25"/>
    <row r="181" s="582" customFormat="1" x14ac:dyDescent="0.25"/>
    <row r="182" s="582" customFormat="1" x14ac:dyDescent="0.25"/>
    <row r="183" s="582" customFormat="1" x14ac:dyDescent="0.25"/>
    <row r="184" s="582" customFormat="1" x14ac:dyDescent="0.25"/>
    <row r="185" s="582" customFormat="1" x14ac:dyDescent="0.25"/>
    <row r="186" s="582" customFormat="1" x14ac:dyDescent="0.25"/>
    <row r="187" s="582" customFormat="1" x14ac:dyDescent="0.25"/>
    <row r="188" s="582" customFormat="1" x14ac:dyDescent="0.25"/>
    <row r="189" s="582" customFormat="1" x14ac:dyDescent="0.25"/>
    <row r="190" s="582" customFormat="1" x14ac:dyDescent="0.25"/>
    <row r="191" s="582" customFormat="1" x14ac:dyDescent="0.25"/>
    <row r="192" s="582" customFormat="1" x14ac:dyDescent="0.25"/>
    <row r="193" s="582" customFormat="1" x14ac:dyDescent="0.25"/>
    <row r="194" s="582" customFormat="1" x14ac:dyDescent="0.25"/>
    <row r="195" s="582" customFormat="1" x14ac:dyDescent="0.25"/>
    <row r="196" s="582" customFormat="1" x14ac:dyDescent="0.25"/>
    <row r="197" s="582" customFormat="1" x14ac:dyDescent="0.25"/>
    <row r="198" s="582" customFormat="1" x14ac:dyDescent="0.25"/>
    <row r="199" s="582" customFormat="1" x14ac:dyDescent="0.25"/>
    <row r="200" s="582" customFormat="1" x14ac:dyDescent="0.25"/>
    <row r="201" s="582" customFormat="1" x14ac:dyDescent="0.25"/>
    <row r="202" s="582" customFormat="1" x14ac:dyDescent="0.25"/>
    <row r="203" s="582" customFormat="1" x14ac:dyDescent="0.25"/>
    <row r="204" s="582" customFormat="1" x14ac:dyDescent="0.25"/>
    <row r="205" s="582" customFormat="1" x14ac:dyDescent="0.25"/>
    <row r="206" s="582" customFormat="1" x14ac:dyDescent="0.25"/>
    <row r="207" s="582" customFormat="1" x14ac:dyDescent="0.25"/>
    <row r="208" s="582" customFormat="1" x14ac:dyDescent="0.25"/>
    <row r="209" s="582" customFormat="1" x14ac:dyDescent="0.25"/>
    <row r="210" s="582" customFormat="1" x14ac:dyDescent="0.25"/>
    <row r="211" s="582" customFormat="1" x14ac:dyDescent="0.25"/>
    <row r="212" s="582" customFormat="1" x14ac:dyDescent="0.25"/>
    <row r="213" s="582" customFormat="1" x14ac:dyDescent="0.25"/>
    <row r="214" s="582" customFormat="1" x14ac:dyDescent="0.25"/>
    <row r="215" s="582" customFormat="1" x14ac:dyDescent="0.25"/>
    <row r="216" s="582" customFormat="1" x14ac:dyDescent="0.25"/>
    <row r="217" s="582" customFormat="1" x14ac:dyDescent="0.25"/>
    <row r="218" s="582" customFormat="1" x14ac:dyDescent="0.25"/>
    <row r="219" s="582" customFormat="1" x14ac:dyDescent="0.25"/>
    <row r="220" s="582" customFormat="1" x14ac:dyDescent="0.25"/>
    <row r="221" s="582" customFormat="1" x14ac:dyDescent="0.25"/>
    <row r="222" s="582" customFormat="1" x14ac:dyDescent="0.25"/>
    <row r="223" s="582" customFormat="1" x14ac:dyDescent="0.25"/>
    <row r="224" s="582" customFormat="1" x14ac:dyDescent="0.25"/>
    <row r="225" s="582" customFormat="1" x14ac:dyDescent="0.25"/>
    <row r="226" s="582" customFormat="1" x14ac:dyDescent="0.25"/>
    <row r="227" s="582" customFormat="1" x14ac:dyDescent="0.25"/>
    <row r="228" s="582" customFormat="1" x14ac:dyDescent="0.25"/>
    <row r="229" s="582" customFormat="1" x14ac:dyDescent="0.25"/>
    <row r="230" s="582" customFormat="1" x14ac:dyDescent="0.25"/>
    <row r="231" s="582" customFormat="1" x14ac:dyDescent="0.25"/>
    <row r="232" s="582" customFormat="1" x14ac:dyDescent="0.25"/>
    <row r="233" s="582" customFormat="1" x14ac:dyDescent="0.25"/>
    <row r="234" s="582" customFormat="1" x14ac:dyDescent="0.25"/>
    <row r="235" s="582" customFormat="1" x14ac:dyDescent="0.25"/>
    <row r="236" s="582" customFormat="1" x14ac:dyDescent="0.25"/>
    <row r="237" s="582" customFormat="1" x14ac:dyDescent="0.25"/>
    <row r="238" s="582" customFormat="1" x14ac:dyDescent="0.25"/>
    <row r="239" s="582" customFormat="1" x14ac:dyDescent="0.25"/>
    <row r="240" s="582" customFormat="1" x14ac:dyDescent="0.25"/>
    <row r="241" s="582" customFormat="1" x14ac:dyDescent="0.25"/>
    <row r="242" s="582" customFormat="1" x14ac:dyDescent="0.25"/>
    <row r="243" s="582" customFormat="1" x14ac:dyDescent="0.25"/>
    <row r="244" s="582" customFormat="1" x14ac:dyDescent="0.25"/>
    <row r="245" s="582" customFormat="1" x14ac:dyDescent="0.25"/>
    <row r="246" s="582" customFormat="1" x14ac:dyDescent="0.25"/>
    <row r="247" s="582" customFormat="1" x14ac:dyDescent="0.25"/>
    <row r="248" s="582" customFormat="1" x14ac:dyDescent="0.25"/>
    <row r="249" s="582" customFormat="1" x14ac:dyDescent="0.25"/>
    <row r="250" s="582" customFormat="1" x14ac:dyDescent="0.25"/>
    <row r="251" s="582" customFormat="1" x14ac:dyDescent="0.25"/>
    <row r="252" s="582" customFormat="1" x14ac:dyDescent="0.25"/>
    <row r="253" s="582" customFormat="1" x14ac:dyDescent="0.25"/>
    <row r="254" s="582" customFormat="1" x14ac:dyDescent="0.25"/>
    <row r="255" s="582" customFormat="1" x14ac:dyDescent="0.25"/>
    <row r="256" s="582" customFormat="1" x14ac:dyDescent="0.25"/>
    <row r="257" s="582" customFormat="1" x14ac:dyDescent="0.25"/>
    <row r="258" s="582" customFormat="1" x14ac:dyDescent="0.25"/>
    <row r="259" s="582" customFormat="1" x14ac:dyDescent="0.25"/>
    <row r="260" s="582" customFormat="1" x14ac:dyDescent="0.25"/>
    <row r="261" s="582" customFormat="1" x14ac:dyDescent="0.25"/>
    <row r="262" s="582" customFormat="1" x14ac:dyDescent="0.25"/>
    <row r="263" s="582" customFormat="1" x14ac:dyDescent="0.25"/>
    <row r="264" s="582" customFormat="1" x14ac:dyDescent="0.25"/>
    <row r="265" s="582" customFormat="1" x14ac:dyDescent="0.25"/>
    <row r="266" s="582" customFormat="1" x14ac:dyDescent="0.25"/>
    <row r="267" s="582" customFormat="1" x14ac:dyDescent="0.25"/>
    <row r="268" s="582" customFormat="1" x14ac:dyDescent="0.25"/>
    <row r="269" s="582" customFormat="1" x14ac:dyDescent="0.25"/>
    <row r="270" s="582" customFormat="1" x14ac:dyDescent="0.25"/>
    <row r="271" s="582" customFormat="1" x14ac:dyDescent="0.25"/>
    <row r="272" s="582" customFormat="1" x14ac:dyDescent="0.25"/>
    <row r="273" s="582" customFormat="1" x14ac:dyDescent="0.25"/>
    <row r="274" s="582" customFormat="1" x14ac:dyDescent="0.25"/>
    <row r="275" s="582" customFormat="1" x14ac:dyDescent="0.25"/>
    <row r="276" s="582" customFormat="1" x14ac:dyDescent="0.25"/>
    <row r="277" s="582" customFormat="1" x14ac:dyDescent="0.25"/>
    <row r="278" s="582" customFormat="1" x14ac:dyDescent="0.25"/>
    <row r="279" s="582" customFormat="1" x14ac:dyDescent="0.25"/>
    <row r="280" s="582" customFormat="1" x14ac:dyDescent="0.25"/>
    <row r="281" s="582" customFormat="1" x14ac:dyDescent="0.25"/>
    <row r="282" s="582" customFormat="1" x14ac:dyDescent="0.25"/>
    <row r="283" s="582" customFormat="1" x14ac:dyDescent="0.25"/>
    <row r="284" s="582" customFormat="1" x14ac:dyDescent="0.25"/>
    <row r="285" s="582" customFormat="1" x14ac:dyDescent="0.25"/>
    <row r="286" s="582" customFormat="1" x14ac:dyDescent="0.25"/>
    <row r="287" s="582" customFormat="1" x14ac:dyDescent="0.25"/>
    <row r="288" s="582" customFormat="1" x14ac:dyDescent="0.25"/>
    <row r="289" s="582" customFormat="1" x14ac:dyDescent="0.25"/>
    <row r="290" s="582" customFormat="1" x14ac:dyDescent="0.25"/>
    <row r="291" s="582" customFormat="1" x14ac:dyDescent="0.25"/>
    <row r="292" s="582" customFormat="1" x14ac:dyDescent="0.25"/>
    <row r="293" s="582" customFormat="1" x14ac:dyDescent="0.25"/>
    <row r="294" s="582" customFormat="1" x14ac:dyDescent="0.25"/>
    <row r="295" s="582" customFormat="1" x14ac:dyDescent="0.25"/>
    <row r="296" s="582" customFormat="1" x14ac:dyDescent="0.25"/>
    <row r="297" s="582" customFormat="1" x14ac:dyDescent="0.25"/>
    <row r="298" s="582" customFormat="1" x14ac:dyDescent="0.25"/>
    <row r="299" s="582" customFormat="1" x14ac:dyDescent="0.25"/>
    <row r="300" s="582" customFormat="1" x14ac:dyDescent="0.25"/>
    <row r="301" s="582" customFormat="1" x14ac:dyDescent="0.25"/>
    <row r="302" s="582" customFormat="1" x14ac:dyDescent="0.25"/>
    <row r="303" s="582" customFormat="1" x14ac:dyDescent="0.25"/>
    <row r="304" s="582" customFormat="1" x14ac:dyDescent="0.25"/>
    <row r="305" s="582" customFormat="1" x14ac:dyDescent="0.25"/>
    <row r="306" s="582" customFormat="1" x14ac:dyDescent="0.25"/>
    <row r="307" s="582" customFormat="1" x14ac:dyDescent="0.25"/>
    <row r="308" s="582" customFormat="1" x14ac:dyDescent="0.25"/>
    <row r="309" s="582" customFormat="1" x14ac:dyDescent="0.25"/>
    <row r="310" s="582" customFormat="1" x14ac:dyDescent="0.25"/>
    <row r="311" s="582" customFormat="1" x14ac:dyDescent="0.25"/>
    <row r="312" s="582" customFormat="1" x14ac:dyDescent="0.25"/>
    <row r="313" s="582" customFormat="1" x14ac:dyDescent="0.25"/>
    <row r="314" s="582" customFormat="1" x14ac:dyDescent="0.25"/>
    <row r="315" s="582" customFormat="1" x14ac:dyDescent="0.25"/>
    <row r="316" s="582" customFormat="1" x14ac:dyDescent="0.25"/>
    <row r="317" s="582" customFormat="1" x14ac:dyDescent="0.25"/>
    <row r="318" s="582" customFormat="1" x14ac:dyDescent="0.25"/>
    <row r="319" s="582" customFormat="1" x14ac:dyDescent="0.25"/>
    <row r="320" s="582" customFormat="1" x14ac:dyDescent="0.25"/>
    <row r="321" spans="1:10" s="582" customFormat="1" x14ac:dyDescent="0.25"/>
    <row r="322" spans="1:10" s="582" customFormat="1" x14ac:dyDescent="0.25"/>
    <row r="323" spans="1:10" s="582" customFormat="1" x14ac:dyDescent="0.25"/>
    <row r="324" spans="1:10" x14ac:dyDescent="0.25">
      <c r="A324" s="582"/>
      <c r="B324" s="582"/>
      <c r="C324" s="582"/>
      <c r="D324" s="582"/>
      <c r="E324" s="582"/>
      <c r="F324" s="582"/>
      <c r="G324" s="582"/>
      <c r="H324" s="582"/>
      <c r="I324" s="582"/>
      <c r="J324" s="582"/>
    </row>
  </sheetData>
  <sheetProtection algorithmName="SHA-512" hashValue="Rs2vxYwLoWPjmavRMowRHWVDZcmfLZTYGJORm4xlj3G/sLkF4J3ajfCWxz6CcUaq+x8esYaXHyIGfTZCZOfR8g==" saltValue="iivbY1JCC+p9w6GAZVUfJw==" spinCount="100000" sheet="1" objects="1" scenarios="1"/>
  <mergeCells count="3">
    <mergeCell ref="A1:G1"/>
    <mergeCell ref="L3:M3"/>
    <mergeCell ref="L14:M14"/>
  </mergeCells>
  <phoneticPr fontId="89" type="noConversion"/>
  <conditionalFormatting sqref="F4:F6 F8:F10">
    <cfRule type="cellIs" dxfId="11" priority="2" stopIfTrue="1" operator="lessThan">
      <formula>0</formula>
    </cfRule>
  </conditionalFormatting>
  <conditionalFormatting sqref="G4:J4 I5:J14">
    <cfRule type="cellIs" dxfId="10" priority="3" stopIfTrue="1" operator="lessThan">
      <formula>1.2499</formula>
    </cfRule>
  </conditionalFormatting>
  <conditionalFormatting sqref="G6:H7">
    <cfRule type="cellIs" dxfId="9" priority="4" stopIfTrue="1" operator="lessThan">
      <formula>1.4499</formula>
    </cfRule>
  </conditionalFormatting>
  <conditionalFormatting sqref="G8:H8">
    <cfRule type="cellIs" dxfId="8" priority="5" stopIfTrue="1" operator="lessThan">
      <formula>1.4999</formula>
    </cfRule>
  </conditionalFormatting>
  <conditionalFormatting sqref="G9:H9">
    <cfRule type="cellIs" dxfId="7" priority="6" stopIfTrue="1" operator="lessThan">
      <formula>1.6499</formula>
    </cfRule>
  </conditionalFormatting>
  <conditionalFormatting sqref="G5:H5">
    <cfRule type="cellIs" dxfId="6" priority="1" stopIfTrue="1" operator="lessThan">
      <formula>1.3999</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B01944E0-38CA-4D51-B3B2-8F2E3525D11C}">
          <x14:formula1>
            <xm:f>Admin!$K$2:$K$7</xm:f>
          </x14:formula1>
          <xm:sqref>A4:A14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002060"/>
    <pageSetUpPr autoPageBreaks="0"/>
  </sheetPr>
  <dimension ref="A1:R67"/>
  <sheetViews>
    <sheetView topLeftCell="A7" zoomScale="70" zoomScaleNormal="70" workbookViewId="0">
      <selection activeCell="M27" sqref="M27"/>
    </sheetView>
  </sheetViews>
  <sheetFormatPr defaultRowHeight="15" x14ac:dyDescent="0.25"/>
  <cols>
    <col min="1" max="1" width="54.28515625" customWidth="1"/>
    <col min="2" max="2" width="10.42578125" customWidth="1"/>
    <col min="3" max="3" width="14" customWidth="1"/>
    <col min="4" max="4" width="10.5703125" bestFit="1" customWidth="1"/>
    <col min="5" max="5" width="8.7109375" style="1494"/>
    <col min="6" max="6" width="39.42578125" bestFit="1" customWidth="1"/>
    <col min="7" max="7" width="19.7109375" bestFit="1" customWidth="1"/>
    <col min="8" max="8" width="4.42578125" customWidth="1"/>
    <col min="9" max="9" width="57.140625" customWidth="1"/>
    <col min="10" max="10" width="14.7109375" customWidth="1"/>
    <col min="11" max="11" width="12.42578125" customWidth="1"/>
    <col min="12" max="12" width="39" customWidth="1"/>
    <col min="13" max="13" width="18.28515625" customWidth="1"/>
    <col min="14" max="14" width="6.140625" customWidth="1"/>
    <col min="15" max="15" width="58" customWidth="1"/>
    <col min="16" max="16" width="13.85546875" bestFit="1" customWidth="1"/>
    <col min="257" max="257" width="41.85546875" customWidth="1"/>
    <col min="513" max="513" width="41.85546875" customWidth="1"/>
    <col min="769" max="769" width="41.85546875" customWidth="1"/>
    <col min="1025" max="1025" width="41.85546875" customWidth="1"/>
    <col min="1281" max="1281" width="41.85546875" customWidth="1"/>
    <col min="1537" max="1537" width="41.85546875" customWidth="1"/>
    <col min="1793" max="1793" width="41.85546875" customWidth="1"/>
    <col min="2049" max="2049" width="41.85546875" customWidth="1"/>
    <col min="2305" max="2305" width="41.85546875" customWidth="1"/>
    <col min="2561" max="2561" width="41.85546875" customWidth="1"/>
    <col min="2817" max="2817" width="41.85546875" customWidth="1"/>
    <col min="3073" max="3073" width="41.85546875" customWidth="1"/>
    <col min="3329" max="3329" width="41.85546875" customWidth="1"/>
    <col min="3585" max="3585" width="41.85546875" customWidth="1"/>
    <col min="3841" max="3841" width="41.85546875" customWidth="1"/>
    <col min="4097" max="4097" width="41.85546875" customWidth="1"/>
    <col min="4353" max="4353" width="41.85546875" customWidth="1"/>
    <col min="4609" max="4609" width="41.85546875" customWidth="1"/>
    <col min="4865" max="4865" width="41.85546875" customWidth="1"/>
    <col min="5121" max="5121" width="41.85546875" customWidth="1"/>
    <col min="5377" max="5377" width="41.85546875" customWidth="1"/>
    <col min="5633" max="5633" width="41.85546875" customWidth="1"/>
    <col min="5889" max="5889" width="41.85546875" customWidth="1"/>
    <col min="6145" max="6145" width="41.85546875" customWidth="1"/>
    <col min="6401" max="6401" width="41.85546875" customWidth="1"/>
    <col min="6657" max="6657" width="41.85546875" customWidth="1"/>
    <col min="6913" max="6913" width="41.85546875" customWidth="1"/>
    <col min="7169" max="7169" width="41.85546875" customWidth="1"/>
    <col min="7425" max="7425" width="41.85546875" customWidth="1"/>
    <col min="7681" max="7681" width="41.85546875" customWidth="1"/>
    <col min="7937" max="7937" width="41.85546875" customWidth="1"/>
    <col min="8193" max="8193" width="41.85546875" customWidth="1"/>
    <col min="8449" max="8449" width="41.85546875" customWidth="1"/>
    <col min="8705" max="8705" width="41.85546875" customWidth="1"/>
    <col min="8961" max="8961" width="41.85546875" customWidth="1"/>
    <col min="9217" max="9217" width="41.85546875" customWidth="1"/>
    <col min="9473" max="9473" width="41.85546875" customWidth="1"/>
    <col min="9729" max="9729" width="41.85546875" customWidth="1"/>
    <col min="9985" max="9985" width="41.85546875" customWidth="1"/>
    <col min="10241" max="10241" width="41.85546875" customWidth="1"/>
    <col min="10497" max="10497" width="41.85546875" customWidth="1"/>
    <col min="10753" max="10753" width="41.85546875" customWidth="1"/>
    <col min="11009" max="11009" width="41.85546875" customWidth="1"/>
    <col min="11265" max="11265" width="41.85546875" customWidth="1"/>
    <col min="11521" max="11521" width="41.85546875" customWidth="1"/>
    <col min="11777" max="11777" width="41.85546875" customWidth="1"/>
    <col min="12033" max="12033" width="41.85546875" customWidth="1"/>
    <col min="12289" max="12289" width="41.85546875" customWidth="1"/>
    <col min="12545" max="12545" width="41.85546875" customWidth="1"/>
    <col min="12801" max="12801" width="41.85546875" customWidth="1"/>
    <col min="13057" max="13057" width="41.85546875" customWidth="1"/>
    <col min="13313" max="13313" width="41.85546875" customWidth="1"/>
    <col min="13569" max="13569" width="41.85546875" customWidth="1"/>
    <col min="13825" max="13825" width="41.85546875" customWidth="1"/>
    <col min="14081" max="14081" width="41.85546875" customWidth="1"/>
    <col min="14337" max="14337" width="41.85546875" customWidth="1"/>
    <col min="14593" max="14593" width="41.85546875" customWidth="1"/>
    <col min="14849" max="14849" width="41.85546875" customWidth="1"/>
    <col min="15105" max="15105" width="41.85546875" customWidth="1"/>
    <col min="15361" max="15361" width="41.85546875" customWidth="1"/>
    <col min="15617" max="15617" width="41.85546875" customWidth="1"/>
    <col min="15873" max="15873" width="41.85546875" customWidth="1"/>
    <col min="16129" max="16129" width="41.85546875" customWidth="1"/>
  </cols>
  <sheetData>
    <row r="1" spans="1:18" ht="15.75" thickBot="1" x14ac:dyDescent="0.3">
      <c r="A1" s="896" t="s">
        <v>327</v>
      </c>
      <c r="B1" s="861"/>
      <c r="C1" s="897"/>
      <c r="E1" s="1494" t="s">
        <v>328</v>
      </c>
      <c r="F1" t="s">
        <v>206</v>
      </c>
    </row>
    <row r="2" spans="1:18" x14ac:dyDescent="0.25">
      <c r="A2" s="830"/>
      <c r="C2" s="832"/>
      <c r="F2" t="s">
        <v>208</v>
      </c>
    </row>
    <row r="3" spans="1:18" ht="10.5" customHeight="1" x14ac:dyDescent="0.25">
      <c r="A3" s="830"/>
      <c r="C3" s="832"/>
    </row>
    <row r="4" spans="1:18" ht="15.75" customHeight="1" x14ac:dyDescent="0.25">
      <c r="A4" s="830" t="s">
        <v>329</v>
      </c>
      <c r="B4" s="1073">
        <v>0.05</v>
      </c>
      <c r="C4" s="832"/>
      <c r="J4" s="5"/>
    </row>
    <row r="5" spans="1:18" ht="15.75" customHeight="1" x14ac:dyDescent="0.25">
      <c r="A5" s="891" t="s">
        <v>330</v>
      </c>
      <c r="B5" s="1074">
        <v>7.7</v>
      </c>
      <c r="C5" s="892" t="s">
        <v>57</v>
      </c>
      <c r="D5" s="1697"/>
      <c r="E5" s="1697"/>
      <c r="F5" s="1697"/>
      <c r="G5" s="1697"/>
      <c r="H5" s="1697"/>
      <c r="I5" s="1697"/>
      <c r="J5" s="1697"/>
      <c r="K5" s="1697"/>
      <c r="L5" s="1697"/>
      <c r="M5" s="1697"/>
      <c r="N5" s="1697"/>
    </row>
    <row r="6" spans="1:18" x14ac:dyDescent="0.25">
      <c r="A6" s="830" t="s">
        <v>331</v>
      </c>
      <c r="B6" s="1075">
        <v>1</v>
      </c>
      <c r="C6" s="892" t="s">
        <v>57</v>
      </c>
      <c r="D6" s="1697"/>
      <c r="E6" s="1697"/>
      <c r="F6" s="1697"/>
      <c r="G6" s="1697"/>
      <c r="H6" s="1697"/>
      <c r="I6" s="1697"/>
      <c r="J6" s="1697"/>
      <c r="K6" s="1697"/>
      <c r="L6" s="1697"/>
      <c r="M6" s="1697"/>
      <c r="N6" s="1697"/>
    </row>
    <row r="7" spans="1:18" x14ac:dyDescent="0.25">
      <c r="A7" s="893" t="s">
        <v>332</v>
      </c>
      <c r="B7" s="1073">
        <v>0.5</v>
      </c>
      <c r="C7" s="892"/>
      <c r="F7" s="764"/>
    </row>
    <row r="8" spans="1:18" ht="15.75" thickBot="1" x14ac:dyDescent="0.3">
      <c r="A8" s="830" t="s">
        <v>333</v>
      </c>
      <c r="B8" s="1076">
        <v>4.75</v>
      </c>
      <c r="C8" s="832"/>
    </row>
    <row r="9" spans="1:18" ht="19.5" thickBot="1" x14ac:dyDescent="0.35">
      <c r="A9" s="830" t="s">
        <v>334</v>
      </c>
      <c r="B9" s="1077">
        <v>5</v>
      </c>
      <c r="C9" s="832"/>
      <c r="F9" s="905" t="s">
        <v>335</v>
      </c>
      <c r="G9" s="876"/>
      <c r="H9" s="876"/>
      <c r="I9" s="877" t="s">
        <v>336</v>
      </c>
      <c r="J9" s="878"/>
      <c r="K9" s="765"/>
      <c r="L9" s="906" t="s">
        <v>337</v>
      </c>
      <c r="M9" s="861"/>
      <c r="N9" s="861"/>
      <c r="O9" s="1698" t="s">
        <v>338</v>
      </c>
      <c r="P9" s="1699"/>
    </row>
    <row r="10" spans="1:18" ht="15.75" thickBot="1" x14ac:dyDescent="0.3">
      <c r="A10" s="894" t="s">
        <v>339</v>
      </c>
      <c r="B10" s="1078">
        <v>25000</v>
      </c>
      <c r="C10" s="895"/>
      <c r="E10" s="1495"/>
      <c r="F10" s="835"/>
      <c r="G10" s="812"/>
      <c r="H10" s="779"/>
      <c r="I10" s="813"/>
      <c r="J10" s="838"/>
      <c r="K10" s="765"/>
      <c r="L10" s="830"/>
      <c r="M10" s="3"/>
      <c r="N10" s="831"/>
      <c r="P10" s="832"/>
    </row>
    <row r="11" spans="1:18" ht="16.5" thickBot="1" x14ac:dyDescent="0.3">
      <c r="A11" s="583" t="s">
        <v>340</v>
      </c>
      <c r="D11" s="3"/>
      <c r="E11" s="1495"/>
      <c r="F11" s="833" t="s">
        <v>341</v>
      </c>
      <c r="G11" s="821">
        <f>IF(G15='Drop down'!C4,SUM('1 - Main'!F14,'1 - Main'!K14:L14),'1 - Main'!F12)</f>
        <v>0</v>
      </c>
      <c r="H11" s="779"/>
      <c r="I11" s="820" t="s">
        <v>342</v>
      </c>
      <c r="J11" s="840">
        <f>(ROUNDUP(IF(G28&gt;0,G28/G35*1000,0),0))</f>
        <v>0</v>
      </c>
      <c r="K11" s="765"/>
      <c r="L11" s="833" t="s">
        <v>341</v>
      </c>
      <c r="M11" s="821">
        <f>IF(Broker!F17="Part &amp; Part",Broker!F21+Broker!J21,Broker!F19)</f>
        <v>0</v>
      </c>
      <c r="N11" s="831"/>
      <c r="O11" t="s">
        <v>130</v>
      </c>
      <c r="P11" s="834" t="str">
        <f>IFERROR(HLOOKUP(M19,'ONS Update'!$C$5:$J$17,5,FALSE),"")</f>
        <v/>
      </c>
      <c r="Q11" s="823"/>
      <c r="R11" s="823"/>
    </row>
    <row r="12" spans="1:18" ht="15.75" x14ac:dyDescent="0.25">
      <c r="A12" s="898" t="s">
        <v>343</v>
      </c>
      <c r="B12" s="899" t="s">
        <v>344</v>
      </c>
      <c r="D12" s="3"/>
      <c r="E12" s="1495"/>
      <c r="F12" s="833" t="s">
        <v>345</v>
      </c>
      <c r="G12" s="821">
        <f>'1 - Main'!F16</f>
        <v>0</v>
      </c>
      <c r="H12" s="779"/>
      <c r="I12" s="780" t="s">
        <v>346</v>
      </c>
      <c r="J12" s="841">
        <f>IF(B32&lt;&gt;"Standard",J11*85%,J11*90%)</f>
        <v>0</v>
      </c>
      <c r="K12" s="765"/>
      <c r="L12" s="833" t="s">
        <v>345</v>
      </c>
      <c r="M12" s="821">
        <f>Broker!F23</f>
        <v>0</v>
      </c>
      <c r="N12" s="831"/>
      <c r="O12" t="s">
        <v>131</v>
      </c>
      <c r="P12" s="834" t="str">
        <f>IFERROR(HLOOKUP(M19,'ONS Update'!$C$5:$J$17,2,FALSE) + HLOOKUP(M19,'ONS Update'!$C$5:$J$17,3,FALSE) + HLOOKUP(M19,'ONS Update'!$C$5:$J$17,6,FALSE) + (HLOOKUP(M19,'ONS Update'!$C$5:$J$17,13,FALSE)*30%),"")</f>
        <v/>
      </c>
      <c r="Q12" s="823"/>
      <c r="R12" s="823"/>
    </row>
    <row r="13" spans="1:18" ht="15.75" x14ac:dyDescent="0.25">
      <c r="A13" s="900" t="s">
        <v>347</v>
      </c>
      <c r="B13" s="901" t="s">
        <v>348</v>
      </c>
      <c r="D13" s="1493" t="s">
        <v>1805</v>
      </c>
      <c r="E13" s="1496">
        <v>12</v>
      </c>
      <c r="F13" s="835" t="s">
        <v>349</v>
      </c>
      <c r="G13" s="782">
        <f>'1 - Main'!F18</f>
        <v>0</v>
      </c>
      <c r="H13" s="779"/>
      <c r="I13" s="780" t="s">
        <v>350</v>
      </c>
      <c r="J13" s="841">
        <f>J11*0.95</f>
        <v>0</v>
      </c>
      <c r="K13" s="765"/>
      <c r="L13" s="835" t="s">
        <v>349</v>
      </c>
      <c r="M13" s="782">
        <f>Broker!F25</f>
        <v>0</v>
      </c>
      <c r="N13" s="831"/>
      <c r="O13" t="s">
        <v>351</v>
      </c>
      <c r="P13" s="834" t="str">
        <f>IFERROR(HLOOKUP(M19,'ONS Update'!$C$5:$J$17,8,FALSE),"")</f>
        <v/>
      </c>
      <c r="Q13" s="823"/>
      <c r="R13" s="823"/>
    </row>
    <row r="14" spans="1:18" ht="15.75" x14ac:dyDescent="0.25">
      <c r="A14" s="900" t="s">
        <v>352</v>
      </c>
      <c r="B14" s="901" t="s">
        <v>353</v>
      </c>
      <c r="D14" s="3"/>
      <c r="E14" s="1495"/>
      <c r="F14" s="835" t="s">
        <v>77</v>
      </c>
      <c r="G14" s="782" t="str">
        <f>'1 - Main'!H16</f>
        <v/>
      </c>
      <c r="H14" s="779"/>
      <c r="I14" s="780" t="s">
        <v>1750</v>
      </c>
      <c r="J14" s="841">
        <f>G20*B8</f>
        <v>0</v>
      </c>
      <c r="K14" s="765"/>
      <c r="L14" s="835" t="s">
        <v>77</v>
      </c>
      <c r="M14" s="782">
        <f>IFERROR((M11/M12)*100,0)</f>
        <v>0</v>
      </c>
      <c r="N14" s="831"/>
      <c r="O14" t="s">
        <v>355</v>
      </c>
      <c r="P14" s="834" t="str">
        <f>IFERROR(HLOOKUP(M19,'ONS Update'!$C$5:$J$17,13,FALSE)*70%,"")</f>
        <v/>
      </c>
      <c r="Q14" s="823"/>
      <c r="R14" s="823"/>
    </row>
    <row r="15" spans="1:18" ht="15.75" x14ac:dyDescent="0.25">
      <c r="A15" s="900" t="s">
        <v>356</v>
      </c>
      <c r="B15" s="901" t="s">
        <v>357</v>
      </c>
      <c r="D15" s="3"/>
      <c r="E15" s="1495"/>
      <c r="F15" s="835" t="s">
        <v>358</v>
      </c>
      <c r="G15" s="783">
        <f>'1 - Main'!F10</f>
        <v>0</v>
      </c>
      <c r="H15" s="779"/>
      <c r="I15" s="780" t="s">
        <v>359</v>
      </c>
      <c r="J15" s="841">
        <f>G20*B9</f>
        <v>0</v>
      </c>
      <c r="K15" s="765"/>
      <c r="L15" s="835" t="s">
        <v>358</v>
      </c>
      <c r="M15" s="783">
        <f>Broker!F17</f>
        <v>0</v>
      </c>
      <c r="N15" s="831"/>
      <c r="O15" t="s">
        <v>133</v>
      </c>
      <c r="P15" s="834" t="str">
        <f>IFERROR(HLOOKUP(M19,'ONS Update'!$C$5:$J$17,9,FALSE) + HLOOKUP(M19,'ONS Update'!$C$5:$J$17,10,FALSE), "")</f>
        <v/>
      </c>
      <c r="Q15" s="823"/>
      <c r="R15" s="823"/>
    </row>
    <row r="16" spans="1:18" ht="15.75" x14ac:dyDescent="0.25">
      <c r="A16" s="900" t="s">
        <v>360</v>
      </c>
      <c r="B16" s="901" t="s">
        <v>361</v>
      </c>
      <c r="D16" s="3"/>
      <c r="E16" s="1495"/>
      <c r="F16" s="835" t="s">
        <v>362</v>
      </c>
      <c r="G16" s="783">
        <f>'1 - Main'!F20</f>
        <v>0</v>
      </c>
      <c r="H16" s="779"/>
      <c r="I16" s="784" t="s">
        <v>363</v>
      </c>
      <c r="J16" s="1491" t="e">
        <f>PMT((G33/100)/E13,G13*E13,-G11)</f>
        <v>#NUM!</v>
      </c>
      <c r="K16" s="765"/>
      <c r="L16" s="835" t="s">
        <v>362</v>
      </c>
      <c r="M16" s="782">
        <f>Broker!D13</f>
        <v>0</v>
      </c>
      <c r="N16" s="831"/>
      <c r="O16" t="s">
        <v>135</v>
      </c>
      <c r="P16" s="834" t="str">
        <f>IFERROR(HLOOKUP(M19,'ONS Update'!$C$5:$J$17,4,FALSE),"")</f>
        <v/>
      </c>
      <c r="Q16" s="823"/>
      <c r="R16" s="823"/>
    </row>
    <row r="17" spans="1:18" ht="15.75" x14ac:dyDescent="0.25">
      <c r="A17" s="900" t="s">
        <v>364</v>
      </c>
      <c r="B17" s="901" t="s">
        <v>365</v>
      </c>
      <c r="D17" s="3"/>
      <c r="E17" s="1495"/>
      <c r="F17" s="835" t="s">
        <v>366</v>
      </c>
      <c r="G17" s="783" t="str">
        <f>IFERROR(VLOOKUP('1 - Main'!F22,'Drop down'!$G$2:$H$3,2,FALSE),"0")</f>
        <v>0</v>
      </c>
      <c r="H17" s="779"/>
      <c r="I17" s="779" t="s">
        <v>367</v>
      </c>
      <c r="J17" s="841">
        <f>IF(J11&lt;=J14,J11,J14)</f>
        <v>0</v>
      </c>
      <c r="K17" s="765"/>
      <c r="L17" s="835" t="s">
        <v>366</v>
      </c>
      <c r="M17" s="783" t="e">
        <f>VLOOKUP(Broker!$H$13,'Drop down'!$G$2:$H$3,2,FALSE)</f>
        <v>#N/A</v>
      </c>
      <c r="N17" s="831"/>
      <c r="O17" t="s">
        <v>137</v>
      </c>
      <c r="P17" s="834" t="e">
        <f>MAX(MIN(M22*5%,185), HLOOKUP(M19,'ONS Update'!$C$5:$J$17,4,FALSE) + HLOOKUP(M19,'ONS Update'!$C$5:$J$17,6,FALSE) + HLOOKUP(M19,'ONS Update'!$C$5:$J$17,12,FALSE))</f>
        <v>#N/A</v>
      </c>
      <c r="Q17" s="823"/>
      <c r="R17" s="823"/>
    </row>
    <row r="18" spans="1:18" ht="15.75" x14ac:dyDescent="0.25">
      <c r="A18" s="900" t="s">
        <v>368</v>
      </c>
      <c r="B18" s="901" t="s">
        <v>369</v>
      </c>
      <c r="D18" s="3"/>
      <c r="E18" s="1495"/>
      <c r="F18" s="835" t="s">
        <v>370</v>
      </c>
      <c r="G18" s="783">
        <f>VLOOKUP('1 - Main'!F24,'Drop down'!E2:F5,2,FALSE)</f>
        <v>0</v>
      </c>
      <c r="H18" s="779"/>
      <c r="I18" s="779" t="s">
        <v>371</v>
      </c>
      <c r="J18" s="841">
        <f>IF(J12&lt;J15,J12,J15)</f>
        <v>0</v>
      </c>
      <c r="K18" s="765"/>
      <c r="L18" s="835" t="s">
        <v>370</v>
      </c>
      <c r="M18" s="783">
        <f>VLOOKUP(Broker!$L$13,'Drop down'!$E$2:$F$5,2,FALSE)</f>
        <v>0</v>
      </c>
      <c r="N18" s="831"/>
      <c r="P18" s="832"/>
      <c r="Q18" s="823"/>
      <c r="R18" s="823"/>
    </row>
    <row r="19" spans="1:18" ht="15.75" x14ac:dyDescent="0.25">
      <c r="A19" s="900" t="s">
        <v>124</v>
      </c>
      <c r="B19" s="901" t="s">
        <v>124</v>
      </c>
      <c r="D19" s="3"/>
      <c r="E19" s="1495"/>
      <c r="F19" s="835" t="s">
        <v>372</v>
      </c>
      <c r="G19" s="783">
        <f>SUM(G17:G18)</f>
        <v>0</v>
      </c>
      <c r="H19" s="779"/>
      <c r="I19" s="815" t="s">
        <v>373</v>
      </c>
      <c r="J19" s="843">
        <f>J11</f>
        <v>0</v>
      </c>
      <c r="K19" s="765"/>
      <c r="L19" s="835" t="s">
        <v>372</v>
      </c>
      <c r="M19" s="783" t="e">
        <f>SUM(M17:M18)</f>
        <v>#N/A</v>
      </c>
      <c r="N19" s="831"/>
      <c r="O19" s="811" t="s">
        <v>336</v>
      </c>
      <c r="P19" s="836"/>
      <c r="Q19" s="823"/>
      <c r="R19" s="823"/>
    </row>
    <row r="20" spans="1:18" x14ac:dyDescent="0.25">
      <c r="A20" s="900" t="s">
        <v>374</v>
      </c>
      <c r="B20" s="901" t="s">
        <v>375</v>
      </c>
      <c r="D20" s="3"/>
      <c r="E20" s="1495"/>
      <c r="F20" s="844" t="s">
        <v>376</v>
      </c>
      <c r="G20" s="822">
        <f>SUM('1 - Main'!F29:L29)</f>
        <v>0</v>
      </c>
      <c r="H20" s="779"/>
      <c r="I20" s="779"/>
      <c r="J20" s="838"/>
      <c r="K20" s="765"/>
      <c r="L20" s="837"/>
      <c r="M20" s="3"/>
      <c r="N20" s="831"/>
      <c r="O20" s="813"/>
      <c r="P20" s="838"/>
    </row>
    <row r="21" spans="1:18" x14ac:dyDescent="0.25">
      <c r="A21" s="900" t="s">
        <v>377</v>
      </c>
      <c r="B21" s="901" t="s">
        <v>378</v>
      </c>
      <c r="D21" s="3"/>
      <c r="E21" s="1495"/>
      <c r="F21" s="862" t="s">
        <v>379</v>
      </c>
      <c r="G21" s="991">
        <f>SUM('1 - Main'!F31:L31)</f>
        <v>0</v>
      </c>
      <c r="H21" s="779"/>
      <c r="I21" s="814" t="s">
        <v>380</v>
      </c>
      <c r="J21" s="836"/>
      <c r="K21" s="765"/>
      <c r="L21" s="837" t="s">
        <v>376</v>
      </c>
      <c r="M21" s="839">
        <f>SUM(Broker!F29,Broker!L29,Broker!F36,Broker!L36)</f>
        <v>0</v>
      </c>
      <c r="N21" s="831"/>
      <c r="O21" s="820" t="s">
        <v>342</v>
      </c>
      <c r="P21" s="840" t="e">
        <f>ROUNDUP(IF(M29&gt;0,M29/M34*1000,0),0)</f>
        <v>#N/A</v>
      </c>
    </row>
    <row r="22" spans="1:18" x14ac:dyDescent="0.25">
      <c r="A22" s="900" t="s">
        <v>206</v>
      </c>
      <c r="B22" s="901" t="s">
        <v>344</v>
      </c>
      <c r="D22" s="3"/>
      <c r="E22" s="1495"/>
      <c r="F22" s="835" t="s">
        <v>13</v>
      </c>
      <c r="G22" s="785" t="str">
        <f>IF(ISNUMBER(SEARCH("Only",G15)),"Yes","No")</f>
        <v>No</v>
      </c>
      <c r="H22" s="779"/>
      <c r="I22" s="820" t="s">
        <v>381</v>
      </c>
      <c r="J22" s="840">
        <f>ROUNDUP(IF(G28&gt;0,+(G28*12)/(G33/100),0),0)</f>
        <v>0</v>
      </c>
      <c r="K22" s="765"/>
      <c r="L22" s="837" t="s">
        <v>382</v>
      </c>
      <c r="M22" s="992">
        <f>SUM(Broker!F35,Broker!L35,Broker!F42,Broker!L42)</f>
        <v>0</v>
      </c>
      <c r="N22" s="831"/>
      <c r="O22" s="780" t="s">
        <v>383</v>
      </c>
      <c r="P22" s="841" t="e">
        <f>IF(C32&lt;&gt;"Standard",P21*85%,P21*90%)</f>
        <v>#N/A</v>
      </c>
    </row>
    <row r="23" spans="1:18" ht="15.75" thickBot="1" x14ac:dyDescent="0.3">
      <c r="A23" s="902"/>
      <c r="B23" s="903"/>
      <c r="D23" s="3"/>
      <c r="E23" s="1495"/>
      <c r="F23" s="835" t="s">
        <v>11</v>
      </c>
      <c r="G23" s="785" t="str">
        <f>IF(ISNUMBER(SEARCH("Part",G15)),"Yes","No")</f>
        <v>No</v>
      </c>
      <c r="H23" s="779"/>
      <c r="I23" s="780" t="s">
        <v>384</v>
      </c>
      <c r="J23" s="841">
        <f>IF(B32&lt;&gt;"Standard",J22*85%,J22*90%)</f>
        <v>0</v>
      </c>
      <c r="K23" s="765"/>
      <c r="L23" s="837"/>
      <c r="M23" s="839"/>
      <c r="N23" s="831"/>
      <c r="O23" s="780" t="s">
        <v>1750</v>
      </c>
      <c r="P23" s="841">
        <f>M21*4.75</f>
        <v>0</v>
      </c>
    </row>
    <row r="24" spans="1:18" x14ac:dyDescent="0.25">
      <c r="A24" s="3"/>
      <c r="D24" s="3"/>
      <c r="E24" s="1495"/>
      <c r="F24" s="835" t="s">
        <v>119</v>
      </c>
      <c r="G24" s="785">
        <f>SUM('1 - Main'!F33:L33)</f>
        <v>0</v>
      </c>
      <c r="H24" s="779"/>
      <c r="I24" s="780" t="s">
        <v>385</v>
      </c>
      <c r="J24" s="841">
        <f>J22*0.95</f>
        <v>0</v>
      </c>
      <c r="K24" s="765"/>
      <c r="L24" s="837" t="s">
        <v>64</v>
      </c>
      <c r="M24" s="839" t="e">
        <f>SUM(P11:P17)</f>
        <v>#N/A</v>
      </c>
      <c r="N24" s="831"/>
      <c r="O24" s="780" t="s">
        <v>359</v>
      </c>
      <c r="P24" s="841">
        <f>M21*B9</f>
        <v>0</v>
      </c>
    </row>
    <row r="25" spans="1:18" ht="15.75" thickBot="1" x14ac:dyDescent="0.3">
      <c r="A25" s="3"/>
      <c r="F25" s="835" t="s">
        <v>139</v>
      </c>
      <c r="G25" s="785">
        <f>SUM('1 - Main'!Q36:Q46)</f>
        <v>0</v>
      </c>
      <c r="H25" s="779"/>
      <c r="I25" s="780" t="s">
        <v>354</v>
      </c>
      <c r="J25" s="841">
        <f>J14</f>
        <v>0</v>
      </c>
      <c r="K25" s="765"/>
      <c r="L25" s="837" t="s">
        <v>127</v>
      </c>
      <c r="M25" s="1452" t="s">
        <v>1766</v>
      </c>
      <c r="N25" s="831"/>
      <c r="O25" s="784" t="s">
        <v>363</v>
      </c>
      <c r="P25" s="1491" t="e">
        <f>PMT((M33/100)/E13,M13*E13,-M11)</f>
        <v>#NUM!</v>
      </c>
    </row>
    <row r="26" spans="1:18" ht="18.75" x14ac:dyDescent="0.3">
      <c r="A26" s="904" t="s">
        <v>180</v>
      </c>
      <c r="B26" s="829"/>
      <c r="C26" s="879"/>
      <c r="F26" s="835" t="s">
        <v>386</v>
      </c>
      <c r="G26" s="783" t="str">
        <f>IFERROR(SUM(G11/G20),"0")</f>
        <v>0</v>
      </c>
      <c r="H26" s="779"/>
      <c r="I26" s="784" t="s">
        <v>387</v>
      </c>
      <c r="J26" s="841">
        <f>G11/12*G33/100</f>
        <v>0</v>
      </c>
      <c r="K26" s="765"/>
      <c r="L26" s="837" t="s">
        <v>388</v>
      </c>
      <c r="M26" s="839">
        <f>SUM(Broker!F51,Broker!L51,Broker!F58,Broker!L58)</f>
        <v>0</v>
      </c>
      <c r="N26" s="831"/>
      <c r="O26" s="779" t="s">
        <v>367</v>
      </c>
      <c r="P26" s="841" t="e">
        <f>IF(P21&lt;=P23,P21,P23)</f>
        <v>#N/A</v>
      </c>
    </row>
    <row r="27" spans="1:18" x14ac:dyDescent="0.25">
      <c r="A27" s="837"/>
      <c r="B27" t="s">
        <v>389</v>
      </c>
      <c r="C27" s="832" t="s">
        <v>206</v>
      </c>
      <c r="E27" s="1495"/>
      <c r="F27" s="862" t="s">
        <v>70</v>
      </c>
      <c r="G27" s="786">
        <f>G24+G25</f>
        <v>0</v>
      </c>
      <c r="H27" s="779"/>
      <c r="I27" s="779" t="s">
        <v>390</v>
      </c>
      <c r="J27" s="841">
        <f>IF(J14&lt;=J22,J14,J22)</f>
        <v>0</v>
      </c>
      <c r="K27" s="765"/>
      <c r="L27" s="842" t="s">
        <v>70</v>
      </c>
      <c r="M27" s="992" t="e">
        <f>SUM(M24:M26)</f>
        <v>#N/A</v>
      </c>
      <c r="N27" s="831"/>
      <c r="O27" s="779" t="s">
        <v>371</v>
      </c>
      <c r="P27" s="841" t="e">
        <f>IF(P22&lt;P24,P22,P24)</f>
        <v>#N/A</v>
      </c>
    </row>
    <row r="28" spans="1:18" x14ac:dyDescent="0.25">
      <c r="A28" s="880" t="s">
        <v>184</v>
      </c>
      <c r="B28" s="881">
        <v>0</v>
      </c>
      <c r="C28" s="882">
        <v>0</v>
      </c>
      <c r="D28" s="3"/>
      <c r="E28" s="1495"/>
      <c r="F28" s="844" t="s">
        <v>391</v>
      </c>
      <c r="G28" s="819">
        <f>G21-G27</f>
        <v>0</v>
      </c>
      <c r="H28" s="779"/>
      <c r="I28" s="815" t="s">
        <v>392</v>
      </c>
      <c r="J28" s="843">
        <f>J22</f>
        <v>0</v>
      </c>
      <c r="K28" s="765"/>
      <c r="L28" s="830"/>
      <c r="N28" s="831"/>
      <c r="O28" s="815" t="s">
        <v>373</v>
      </c>
      <c r="P28" s="843" t="e">
        <f>P21</f>
        <v>#N/A</v>
      </c>
    </row>
    <row r="29" spans="1:18" x14ac:dyDescent="0.25">
      <c r="A29" s="837" t="s">
        <v>5</v>
      </c>
      <c r="B29" s="848">
        <f>'1 - Main'!F8*100</f>
        <v>0</v>
      </c>
      <c r="C29" s="883">
        <f>Broker!H11*100</f>
        <v>0</v>
      </c>
      <c r="D29" s="3"/>
      <c r="E29" s="1495"/>
      <c r="F29" s="835"/>
      <c r="G29" s="779"/>
      <c r="H29" s="779"/>
      <c r="I29" s="779"/>
      <c r="J29" s="838"/>
      <c r="K29" s="765"/>
      <c r="L29" s="844" t="s">
        <v>391</v>
      </c>
      <c r="M29" s="819" t="e">
        <f>M22-M27</f>
        <v>#N/A</v>
      </c>
      <c r="N29" s="831"/>
      <c r="O29" s="779"/>
      <c r="P29" s="838"/>
    </row>
    <row r="30" spans="1:18" x14ac:dyDescent="0.25">
      <c r="A30" s="837" t="s">
        <v>1754</v>
      </c>
      <c r="B30" s="848">
        <f>B29+1.75</f>
        <v>1.75</v>
      </c>
      <c r="C30" s="883">
        <f>C29+1.75</f>
        <v>1.75</v>
      </c>
      <c r="D30" s="3"/>
      <c r="E30" s="1495"/>
      <c r="F30" s="863" t="s">
        <v>394</v>
      </c>
      <c r="G30" s="809"/>
      <c r="H30" s="779"/>
      <c r="I30" s="811" t="s">
        <v>395</v>
      </c>
      <c r="J30" s="836"/>
      <c r="K30" s="765"/>
      <c r="L30" s="837"/>
      <c r="M30" s="3"/>
      <c r="N30" s="831"/>
      <c r="O30" s="814" t="s">
        <v>380</v>
      </c>
      <c r="P30" s="836"/>
    </row>
    <row r="31" spans="1:18" x14ac:dyDescent="0.25">
      <c r="A31" s="837" t="s">
        <v>396</v>
      </c>
      <c r="B31" s="848" t="str">
        <f>IF(ISNUMBER(SEARCH(5,'1 - Main'!F6)),"Yes","No")</f>
        <v>No</v>
      </c>
      <c r="C31" s="884" t="str">
        <f>M31</f>
        <v>No</v>
      </c>
      <c r="D31" s="3"/>
      <c r="E31" s="1495"/>
      <c r="F31" s="845" t="s">
        <v>397</v>
      </c>
      <c r="G31" s="783" t="str">
        <f>IF(ISNUMBER(SEARCH(5,'1 - Main'!F6)),"Yes","No")</f>
        <v>No</v>
      </c>
      <c r="H31" s="779"/>
      <c r="I31" s="779" t="s">
        <v>398</v>
      </c>
      <c r="J31" s="841">
        <f>'1 - Main'!F14</f>
        <v>200000</v>
      </c>
      <c r="K31" s="765"/>
      <c r="L31" s="845" t="s">
        <v>397</v>
      </c>
      <c r="M31" s="846" t="str">
        <f>IF(ISNUMBER(SEARCH(5,Broker!D11)),"Yes","No")</f>
        <v>No</v>
      </c>
      <c r="N31" s="831"/>
      <c r="O31" s="820" t="s">
        <v>381</v>
      </c>
      <c r="P31" s="840" t="e">
        <f>ROUNDUP(IF(M29&gt;0,+(M29*12)/(M33/100),0),0)</f>
        <v>#N/A</v>
      </c>
    </row>
    <row r="32" spans="1:18" x14ac:dyDescent="0.25">
      <c r="A32" s="837" t="s">
        <v>4</v>
      </c>
      <c r="B32" s="848" t="str">
        <f>IF(ISNUMBER(SEARCH("Discount",'1 - Main'!F6)),"Discount",IF(ISNUMBER(SEARCH("Fixed",'1 - Main'!F6)),"Fixed","Standard"))</f>
        <v>Standard</v>
      </c>
      <c r="C32" s="884" t="str">
        <f>M32</f>
        <v>Standard</v>
      </c>
      <c r="D32" s="3"/>
      <c r="E32" s="1495"/>
      <c r="F32" s="845" t="s">
        <v>4</v>
      </c>
      <c r="G32" s="783" t="str">
        <f>IF(ISNUMBER(SEARCH("Discount",'1 - Main'!F6)),"Discount",IF(ISNUMBER(SEARCH("Fixed",'1 - Main'!F6)),"Fixed","Standard"))</f>
        <v>Standard</v>
      </c>
      <c r="H32" s="779"/>
      <c r="I32" s="779" t="s">
        <v>399</v>
      </c>
      <c r="J32" s="841">
        <f>'1 - Main'!K14</f>
        <v>0</v>
      </c>
      <c r="K32" s="765"/>
      <c r="L32" s="845" t="s">
        <v>4</v>
      </c>
      <c r="M32" s="846" t="str">
        <f>IF(ISNUMBER(SEARCH("Discount",Broker!D11)),"Discount",IF(ISNUMBER(SEARCH("Fixed",Broker!D11)),"Fixed","Standard"))</f>
        <v>Standard</v>
      </c>
      <c r="N32" s="831"/>
      <c r="O32" s="780" t="s">
        <v>400</v>
      </c>
      <c r="P32" s="841" t="e">
        <f>IF(C32&lt;&gt;"Standard",P31*85%,P31*90%)</f>
        <v>#N/A</v>
      </c>
    </row>
    <row r="33" spans="1:16" x14ac:dyDescent="0.25">
      <c r="A33" s="837"/>
      <c r="B33" s="848"/>
      <c r="C33" s="885"/>
      <c r="D33" s="3"/>
      <c r="E33" s="1495"/>
      <c r="F33" s="847" t="s">
        <v>401</v>
      </c>
      <c r="G33" s="818">
        <f>' VBS Criteria'!B43</f>
        <v>1.75</v>
      </c>
      <c r="H33" s="779"/>
      <c r="I33" s="779" t="s">
        <v>402</v>
      </c>
      <c r="J33" s="841">
        <f>SUM(J31:J32)</f>
        <v>200000</v>
      </c>
      <c r="K33" s="765"/>
      <c r="L33" s="847" t="s">
        <v>401</v>
      </c>
      <c r="M33" s="1035">
        <f>C43</f>
        <v>1.75</v>
      </c>
      <c r="N33" s="831"/>
      <c r="O33" s="780" t="s">
        <v>1750</v>
      </c>
      <c r="P33" s="841">
        <f>P23</f>
        <v>0</v>
      </c>
    </row>
    <row r="34" spans="1:16" x14ac:dyDescent="0.25">
      <c r="A34" s="842" t="s">
        <v>403</v>
      </c>
      <c r="B34" s="848"/>
      <c r="C34" s="885"/>
      <c r="D34" s="3"/>
      <c r="E34" s="1495"/>
      <c r="F34" s="845" t="s">
        <v>393</v>
      </c>
      <c r="G34" s="782">
        <f>B43</f>
        <v>1.75</v>
      </c>
      <c r="H34" s="779"/>
      <c r="I34" s="779" t="s">
        <v>404</v>
      </c>
      <c r="J34" s="851">
        <f>J32/12*G33/100</f>
        <v>0</v>
      </c>
      <c r="K34" s="765"/>
      <c r="L34" s="845" t="s">
        <v>405</v>
      </c>
      <c r="M34" s="1034" t="e">
        <f>-PMT(M33/100,M13,1000)/12</f>
        <v>#NUM!</v>
      </c>
      <c r="N34" s="831"/>
      <c r="O34" s="784" t="s">
        <v>387</v>
      </c>
      <c r="P34" s="841">
        <f>M11/12*M33/100</f>
        <v>0</v>
      </c>
    </row>
    <row r="35" spans="1:16" x14ac:dyDescent="0.25">
      <c r="A35" s="837" t="s">
        <v>406</v>
      </c>
      <c r="B35" s="848">
        <v>4.7</v>
      </c>
      <c r="C35" s="883">
        <f>B35</f>
        <v>4.7</v>
      </c>
      <c r="D35" s="3"/>
      <c r="E35" s="1495"/>
      <c r="F35" s="845" t="s">
        <v>405</v>
      </c>
      <c r="G35" s="783" t="e">
        <f>-PMT(G33/100,G13,1000)/12</f>
        <v>#NUM!</v>
      </c>
      <c r="H35" s="779"/>
      <c r="I35" s="779" t="s">
        <v>407</v>
      </c>
      <c r="J35" s="1491" t="e">
        <f>PMT((G33/100)/E13,G13*E13,-J31)</f>
        <v>#NUM!</v>
      </c>
      <c r="K35" s="765"/>
      <c r="L35" s="830"/>
      <c r="N35" s="831"/>
      <c r="O35" s="779" t="s">
        <v>390</v>
      </c>
      <c r="P35" s="841" t="e">
        <f>IF(P23&lt;=P31,P23,P31)</f>
        <v>#N/A</v>
      </c>
    </row>
    <row r="36" spans="1:16" x14ac:dyDescent="0.25">
      <c r="A36" s="837" t="s">
        <v>408</v>
      </c>
      <c r="B36" s="848">
        <f>B29+1</f>
        <v>1</v>
      </c>
      <c r="C36" s="883">
        <f>C29+1</f>
        <v>1</v>
      </c>
      <c r="D36" s="3"/>
      <c r="E36" s="1495"/>
      <c r="F36" s="845" t="s">
        <v>409</v>
      </c>
      <c r="G36" s="783" t="e">
        <f>-PMT(G34/100,G13,1000)/12</f>
        <v>#NUM!</v>
      </c>
      <c r="H36" s="779"/>
      <c r="I36" s="779" t="s">
        <v>410</v>
      </c>
      <c r="J36" s="851" t="e">
        <f>J34+J35</f>
        <v>#NUM!</v>
      </c>
      <c r="K36" s="765"/>
      <c r="L36" s="849" t="s">
        <v>411</v>
      </c>
      <c r="M36" s="809"/>
      <c r="N36" s="831"/>
      <c r="O36" s="815" t="s">
        <v>392</v>
      </c>
      <c r="P36" s="843" t="e">
        <f>P31</f>
        <v>#N/A</v>
      </c>
    </row>
    <row r="37" spans="1:16" x14ac:dyDescent="0.25">
      <c r="A37" s="880" t="s">
        <v>412</v>
      </c>
      <c r="B37" s="881">
        <f>IF(MAX(B35:B36)&gt;B28,B28,MAX(B35:B36))</f>
        <v>0</v>
      </c>
      <c r="C37" s="886">
        <f>IF(MAX(C35:C36)&gt;C28,C28,MAX(C35:C36))</f>
        <v>0</v>
      </c>
      <c r="F37" s="845"/>
      <c r="G37" s="779"/>
      <c r="H37" s="779"/>
      <c r="I37" s="779" t="s">
        <v>413</v>
      </c>
      <c r="J37" s="851">
        <f>G28-J34</f>
        <v>0</v>
      </c>
      <c r="K37" s="765"/>
      <c r="L37" s="845" t="s">
        <v>77</v>
      </c>
      <c r="M37" s="783">
        <f>VLOOKUP(M14,'Drop down'!O17:P21,2,TRUE)</f>
        <v>1</v>
      </c>
      <c r="O37" s="779"/>
      <c r="P37" s="838"/>
    </row>
    <row r="38" spans="1:16" x14ac:dyDescent="0.25">
      <c r="A38" s="837"/>
      <c r="B38" s="887"/>
      <c r="C38" s="885"/>
      <c r="F38" s="849" t="s">
        <v>411</v>
      </c>
      <c r="G38" s="809"/>
      <c r="H38" s="779"/>
      <c r="I38" s="816" t="s">
        <v>414</v>
      </c>
      <c r="J38" s="840">
        <f>ROUNDUP(IF(J37&gt;0,J37/G35*1000,0),0)+J32</f>
        <v>0</v>
      </c>
      <c r="K38" s="765"/>
      <c r="L38" s="845" t="s">
        <v>74</v>
      </c>
      <c r="M38" s="783">
        <f>IFERROR(IF(M50="Capital Repayment",(VLOOKUP(M46,'Drop down'!Q17:R21,2,TRUE)),IF(M50="Interest-only",(VLOOKUP(M47,'Drop down'!Q17:R21,2,TRUE)),IF(M50="Part &amp; part",VLOOKUP(M48,'Drop down'!Q17:R21,2,TRUE)))),1000)</f>
        <v>1000</v>
      </c>
      <c r="O38" s="811" t="s">
        <v>395</v>
      </c>
      <c r="P38" s="836"/>
    </row>
    <row r="39" spans="1:16" x14ac:dyDescent="0.25">
      <c r="A39" s="837" t="s">
        <v>415</v>
      </c>
      <c r="B39" s="848">
        <v>2.75</v>
      </c>
      <c r="C39" s="883">
        <f>B39</f>
        <v>2.75</v>
      </c>
      <c r="F39" s="845" t="s">
        <v>77</v>
      </c>
      <c r="G39" s="783" t="e">
        <f>VLOOKUP(G14,'Drop down'!O17:P21,2,TRUE)</f>
        <v>#N/A</v>
      </c>
      <c r="H39" s="779"/>
      <c r="I39" s="780" t="s">
        <v>416</v>
      </c>
      <c r="J39" s="841">
        <f>IF(B32&lt;&gt;"Standard",J38*85%,J38*90%)</f>
        <v>0</v>
      </c>
      <c r="K39" s="765"/>
      <c r="L39" s="845" t="s">
        <v>417</v>
      </c>
      <c r="M39" s="783">
        <f>M37*M38</f>
        <v>1000</v>
      </c>
      <c r="O39" s="779" t="s">
        <v>398</v>
      </c>
      <c r="P39" s="841">
        <f>Broker!F21</f>
        <v>150000</v>
      </c>
    </row>
    <row r="40" spans="1:16" x14ac:dyDescent="0.25">
      <c r="A40" s="837" t="s">
        <v>418</v>
      </c>
      <c r="B40" s="848" t="str">
        <f>IF(B32="Fixed",B29,"N/A")</f>
        <v>N/A</v>
      </c>
      <c r="C40" s="883" t="str">
        <f>IF(C32="Fixed",C29,"N/A")</f>
        <v>N/A</v>
      </c>
      <c r="F40" s="845" t="s">
        <v>74</v>
      </c>
      <c r="G40" s="783" t="b">
        <f>IFERROR(IF(G15="Capital &amp; Interest",(VLOOKUP('1 - Main'!J78,'Drop down'!Q17:R21,2,TRUE)),IF(G15="Interest only",(VLOOKUP('1 - Main'!J82,'Drop down'!Q17:R21,2,TRUE)),IF(' VBS Criteria'!G15="Part &amp; part",VLOOKUP('1 - Main'!J86,'Drop down'!Q17:R21,2,TRUE)))),1000)</f>
        <v>0</v>
      </c>
      <c r="H40" s="779"/>
      <c r="I40" s="780" t="s">
        <v>354</v>
      </c>
      <c r="J40" s="841">
        <f>J14</f>
        <v>0</v>
      </c>
      <c r="K40" s="765"/>
      <c r="L40" s="847" t="s">
        <v>161</v>
      </c>
      <c r="M40" s="817" t="str">
        <f>VLOOKUP(M39,'Drop down'!P25:Q28,2,TRUE)</f>
        <v>Level 4</v>
      </c>
      <c r="O40" s="779" t="s">
        <v>399</v>
      </c>
      <c r="P40" s="841">
        <f>Broker!J21</f>
        <v>0</v>
      </c>
    </row>
    <row r="41" spans="1:16" x14ac:dyDescent="0.25">
      <c r="A41" s="880" t="s">
        <v>419</v>
      </c>
      <c r="B41" s="881">
        <f>MAX(B39:B40)</f>
        <v>2.75</v>
      </c>
      <c r="C41" s="886">
        <f>MAX(C39:C40)</f>
        <v>2.75</v>
      </c>
      <c r="F41" s="845" t="s">
        <v>417</v>
      </c>
      <c r="G41" s="783" t="e">
        <f>G39*G40</f>
        <v>#N/A</v>
      </c>
      <c r="H41" s="779"/>
      <c r="I41" s="780" t="s">
        <v>359</v>
      </c>
      <c r="J41" s="841">
        <f>J15</f>
        <v>0</v>
      </c>
      <c r="K41" s="765"/>
      <c r="L41" s="830"/>
      <c r="O41" s="779" t="s">
        <v>402</v>
      </c>
      <c r="P41" s="841">
        <f>SUM(P39:P40)</f>
        <v>150000</v>
      </c>
    </row>
    <row r="42" spans="1:16" x14ac:dyDescent="0.25">
      <c r="A42" s="837"/>
      <c r="B42" s="887"/>
      <c r="C42" s="885"/>
      <c r="F42" s="847" t="s">
        <v>161</v>
      </c>
      <c r="G42" s="817" t="e">
        <f>VLOOKUP(G41,'Drop down'!P25:Q28,2,TRUE)</f>
        <v>#N/A</v>
      </c>
      <c r="H42" s="779"/>
      <c r="I42" s="779" t="s">
        <v>420</v>
      </c>
      <c r="J42" s="841">
        <f>IF(J38&lt;=J40,J38,J40)</f>
        <v>0</v>
      </c>
      <c r="L42" s="845" t="s">
        <v>421</v>
      </c>
      <c r="M42" s="850" t="e">
        <f>M29-P25</f>
        <v>#N/A</v>
      </c>
      <c r="O42" s="779" t="s">
        <v>404</v>
      </c>
      <c r="P42" s="851">
        <f>P40/12*M33/100</f>
        <v>0</v>
      </c>
    </row>
    <row r="43" spans="1:16" ht="15.75" thickBot="1" x14ac:dyDescent="0.3">
      <c r="A43" s="888" t="s">
        <v>422</v>
      </c>
      <c r="B43" s="889">
        <f>IF(B31&lt;&gt;"Yes", B30, IF(B32="Fixed", B41, ""))</f>
        <v>1.75</v>
      </c>
      <c r="C43" s="890">
        <f>IF(C31&lt;&gt;"Yes", C30, IF(C32="Fixed", C41, ""))</f>
        <v>1.75</v>
      </c>
      <c r="F43" s="845"/>
      <c r="G43" s="779"/>
      <c r="H43" s="779"/>
      <c r="I43" s="779" t="s">
        <v>423</v>
      </c>
      <c r="J43" s="841">
        <f>IF(J39&lt;J41,J39,J41)</f>
        <v>0</v>
      </c>
      <c r="L43" s="845" t="s">
        <v>424</v>
      </c>
      <c r="M43" s="850" t="e">
        <f>M29-P34</f>
        <v>#N/A</v>
      </c>
      <c r="O43" s="779" t="s">
        <v>407</v>
      </c>
      <c r="P43" s="1491" t="e">
        <f>PMT((M33/100)/E13,M13*E13,-P39)</f>
        <v>#NUM!</v>
      </c>
    </row>
    <row r="44" spans="1:16" x14ac:dyDescent="0.25">
      <c r="A44" s="3"/>
      <c r="F44" s="849" t="s">
        <v>425</v>
      </c>
      <c r="G44" s="809"/>
      <c r="H44" s="779"/>
      <c r="I44" s="815" t="s">
        <v>426</v>
      </c>
      <c r="J44" s="843">
        <f>J38</f>
        <v>0</v>
      </c>
      <c r="L44" s="845" t="s">
        <v>427</v>
      </c>
      <c r="M44" s="852" t="e">
        <f>M29-P44</f>
        <v>#N/A</v>
      </c>
      <c r="O44" s="779" t="s">
        <v>410</v>
      </c>
      <c r="P44" s="851" t="e">
        <f>P42+P43</f>
        <v>#NUM!</v>
      </c>
    </row>
    <row r="45" spans="1:16" x14ac:dyDescent="0.25">
      <c r="F45" s="845" t="s">
        <v>428</v>
      </c>
      <c r="G45" s="783">
        <f>'1 - Main'!F27</f>
        <v>0</v>
      </c>
      <c r="H45" s="779"/>
      <c r="I45" s="779"/>
      <c r="J45" s="838"/>
      <c r="L45" s="830"/>
      <c r="O45" s="779" t="s">
        <v>413</v>
      </c>
      <c r="P45" s="851" t="e">
        <f>M29-P42</f>
        <v>#N/A</v>
      </c>
    </row>
    <row r="46" spans="1:16" x14ac:dyDescent="0.25">
      <c r="F46" s="845" t="s">
        <v>429</v>
      </c>
      <c r="G46" s="783">
        <f>'1 - Main'!H27</f>
        <v>0</v>
      </c>
      <c r="H46" s="779"/>
      <c r="I46" s="811" t="s">
        <v>430</v>
      </c>
      <c r="J46" s="836"/>
      <c r="L46" s="853" t="s">
        <v>431</v>
      </c>
      <c r="M46" s="854" t="e">
        <f>(M29-P25)/M22</f>
        <v>#N/A</v>
      </c>
      <c r="O46" s="816" t="s">
        <v>414</v>
      </c>
      <c r="P46" s="840" t="e">
        <f>ROUNDUP(IF(P45&gt;0,P45/M34*1000,0),0)+P40</f>
        <v>#N/A</v>
      </c>
    </row>
    <row r="47" spans="1:16" x14ac:dyDescent="0.25">
      <c r="F47" s="845" t="s">
        <v>432</v>
      </c>
      <c r="G47" s="783">
        <f>'1 - Main'!J27</f>
        <v>0</v>
      </c>
      <c r="H47" s="779"/>
      <c r="I47" s="816" t="s">
        <v>12</v>
      </c>
      <c r="J47" s="840" t="e">
        <f>PMT((B29/100)/E13,G13*E13,-G11)</f>
        <v>#NUM!</v>
      </c>
      <c r="K47" s="1492"/>
      <c r="L47" s="853" t="s">
        <v>433</v>
      </c>
      <c r="M47" s="854" t="e">
        <f>(M29-P34)/M22</f>
        <v>#N/A</v>
      </c>
      <c r="O47" s="780" t="s">
        <v>416</v>
      </c>
      <c r="P47" s="841" t="e">
        <f>IF(C32&lt;&gt;"Standard",P46*85%,P46*90%)</f>
        <v>#N/A</v>
      </c>
    </row>
    <row r="48" spans="1:16" x14ac:dyDescent="0.25">
      <c r="B48" s="557"/>
      <c r="C48" s="557"/>
      <c r="D48" s="557"/>
      <c r="F48" s="845" t="s">
        <v>434</v>
      </c>
      <c r="G48" s="783">
        <f>'1 - Main'!L27</f>
        <v>0</v>
      </c>
      <c r="H48" s="779"/>
      <c r="I48" s="816" t="s">
        <v>13</v>
      </c>
      <c r="J48" s="840">
        <f>G11/12*B29/100</f>
        <v>0</v>
      </c>
      <c r="L48" s="853" t="s">
        <v>435</v>
      </c>
      <c r="M48" s="825" t="e">
        <f>(M29-P44)/M22</f>
        <v>#N/A</v>
      </c>
      <c r="O48" s="780" t="s">
        <v>1750</v>
      </c>
      <c r="P48" s="841">
        <f>P23</f>
        <v>0</v>
      </c>
    </row>
    <row r="49" spans="1:16" x14ac:dyDescent="0.25">
      <c r="A49" s="779"/>
      <c r="B49" s="1160"/>
      <c r="C49" s="1077"/>
      <c r="D49" s="1077"/>
      <c r="F49" s="847" t="s">
        <v>436</v>
      </c>
      <c r="G49" s="817">
        <f>IF(SUM(G45:G48)=0,0,AVERAGEIF(G45:G48,"&gt;0",G45:G48))</f>
        <v>0</v>
      </c>
      <c r="H49" s="864"/>
      <c r="I49" s="816" t="s">
        <v>11</v>
      </c>
      <c r="J49" s="840" t="e">
        <f>PMT((B29/100)/E13,G13*E13,-J31)+J53</f>
        <v>#NUM!</v>
      </c>
      <c r="K49" s="787"/>
      <c r="L49" s="855"/>
      <c r="M49" s="789"/>
      <c r="N49" s="787"/>
      <c r="O49" s="780" t="s">
        <v>359</v>
      </c>
      <c r="P49" s="841">
        <f>P24</f>
        <v>0</v>
      </c>
    </row>
    <row r="50" spans="1:16" ht="14.25" customHeight="1" x14ac:dyDescent="0.25">
      <c r="A50" s="779"/>
      <c r="B50" s="1160"/>
      <c r="C50" s="1077"/>
      <c r="D50" s="1077"/>
      <c r="F50" s="845" t="s">
        <v>437</v>
      </c>
      <c r="G50" s="865">
        <f>2^((500-G49)/20)/(1+2^((500-G49)/20))</f>
        <v>0.9999999701976785</v>
      </c>
      <c r="H50" s="864"/>
      <c r="I50" s="864"/>
      <c r="J50" s="866"/>
      <c r="K50" s="787"/>
      <c r="L50" s="855" t="s">
        <v>59</v>
      </c>
      <c r="M50" s="1022" t="str">
        <f>IF(ISNUMBER(SEARCH("Only",M15)),"Interest-Only",IF(ISNUMBER(SEARCH("Part",M15)),"Part &amp; Part","Capital Repayment"))</f>
        <v>Capital Repayment</v>
      </c>
      <c r="N50" s="787"/>
      <c r="O50" s="779" t="s">
        <v>420</v>
      </c>
      <c r="P50" s="841" t="e">
        <f>IF(P46&lt;=P48,P46,P48)</f>
        <v>#N/A</v>
      </c>
    </row>
    <row r="51" spans="1:16" ht="14.25" customHeight="1" x14ac:dyDescent="0.25">
      <c r="A51" s="779"/>
      <c r="B51" s="1161"/>
      <c r="C51" s="1073"/>
      <c r="D51" s="1073"/>
      <c r="F51" s="845" t="s">
        <v>438</v>
      </c>
      <c r="G51" s="865">
        <f>G50*PEL!$B$24</f>
        <v>2.4999999254941963</v>
      </c>
      <c r="H51" s="810"/>
      <c r="I51" s="810" t="s">
        <v>439</v>
      </c>
      <c r="J51" s="1150">
        <v>185</v>
      </c>
      <c r="K51" s="788"/>
      <c r="L51" s="830"/>
      <c r="N51" s="788"/>
      <c r="O51" s="779" t="s">
        <v>423</v>
      </c>
      <c r="P51" s="841" t="e">
        <f>IF(P47&lt;P49,P47,P49)</f>
        <v>#N/A</v>
      </c>
    </row>
    <row r="52" spans="1:16" ht="14.25" customHeight="1" thickBot="1" x14ac:dyDescent="0.3">
      <c r="A52" s="779"/>
      <c r="B52" s="1162"/>
      <c r="C52" s="1162"/>
      <c r="D52" s="1162"/>
      <c r="F52" s="845" t="s">
        <v>440</v>
      </c>
      <c r="G52" s="865">
        <f>IF(G51&lt;PEL!B27,PEL!B27,' VBS Criteria'!G51)</f>
        <v>2.4999999254941963</v>
      </c>
      <c r="H52" s="789"/>
      <c r="I52" s="789"/>
      <c r="J52" s="867"/>
      <c r="K52" s="789"/>
      <c r="L52" s="856"/>
      <c r="M52" s="857"/>
      <c r="N52" s="858"/>
      <c r="O52" s="859" t="s">
        <v>426</v>
      </c>
      <c r="P52" s="860" t="e">
        <f>P46</f>
        <v>#N/A</v>
      </c>
    </row>
    <row r="53" spans="1:16" ht="14.25" customHeight="1" x14ac:dyDescent="0.25">
      <c r="A53" s="779"/>
      <c r="D53" s="824"/>
      <c r="F53" s="845" t="s">
        <v>441</v>
      </c>
      <c r="G53" s="868">
        <f>G12</f>
        <v>0</v>
      </c>
      <c r="H53" s="789"/>
      <c r="I53" s="789" t="s">
        <v>1811</v>
      </c>
      <c r="J53" s="1511">
        <f>J32/12*B29/100</f>
        <v>0</v>
      </c>
      <c r="K53" s="789"/>
      <c r="N53" s="789"/>
    </row>
    <row r="54" spans="1:16" x14ac:dyDescent="0.25">
      <c r="F54" s="845" t="s">
        <v>442</v>
      </c>
      <c r="G54" s="868">
        <f>G53*(1-PEL!B30)</f>
        <v>0</v>
      </c>
      <c r="H54" s="779"/>
      <c r="I54" s="779"/>
      <c r="J54" s="838"/>
    </row>
    <row r="55" spans="1:16" x14ac:dyDescent="0.25">
      <c r="A55" s="1157"/>
      <c r="F55" s="845" t="s">
        <v>443</v>
      </c>
      <c r="G55" s="869">
        <f>IF(G54*PEL!$B$31&gt;PEL!$B$32,PEL!$B$32,G54*PEL!$B$31)</f>
        <v>0</v>
      </c>
      <c r="H55" s="779"/>
      <c r="I55" s="779"/>
      <c r="J55" s="838"/>
    </row>
    <row r="56" spans="1:16" x14ac:dyDescent="0.25">
      <c r="A56" s="779"/>
      <c r="B56" s="555"/>
      <c r="C56" s="557"/>
      <c r="D56" s="557"/>
      <c r="F56" s="845" t="s">
        <v>444</v>
      </c>
      <c r="G56" s="868">
        <f>G11+G55</f>
        <v>0</v>
      </c>
      <c r="H56" s="779"/>
      <c r="I56" s="779"/>
      <c r="J56" s="838"/>
    </row>
    <row r="57" spans="1:16" x14ac:dyDescent="0.25">
      <c r="A57" s="779"/>
      <c r="B57" s="555"/>
      <c r="C57" s="1077"/>
      <c r="D57" s="1077"/>
      <c r="F57" s="845" t="s">
        <v>99</v>
      </c>
      <c r="G57" s="781">
        <f>IF((G14&gt;100)&gt;50%,-MIN(PEL!$B$29*(G54-G56),-G56*PEL!B28),IF((PEL!$B$29*(G54-G56))&gt;0,0,(PEL!$B$29*(G54-G56))))</f>
        <v>0</v>
      </c>
      <c r="H57" s="779"/>
      <c r="I57" s="779"/>
      <c r="J57" s="838"/>
    </row>
    <row r="58" spans="1:16" x14ac:dyDescent="0.25">
      <c r="B58" s="557"/>
      <c r="C58" s="1077"/>
      <c r="D58" s="1077"/>
      <c r="F58" s="845" t="s">
        <v>445</v>
      </c>
      <c r="G58" s="781">
        <f>G57*G52</f>
        <v>0</v>
      </c>
      <c r="H58" s="779"/>
      <c r="I58" s="779"/>
      <c r="J58" s="838"/>
    </row>
    <row r="59" spans="1:16" x14ac:dyDescent="0.25">
      <c r="A59" s="779"/>
      <c r="B59" s="1161"/>
      <c r="C59" s="1073"/>
      <c r="D59" s="1073"/>
      <c r="F59" s="847" t="s">
        <v>446</v>
      </c>
      <c r="G59" s="870" t="e">
        <f>G58/G11</f>
        <v>#DIV/0!</v>
      </c>
      <c r="H59" s="779"/>
      <c r="I59" s="779"/>
      <c r="J59" s="838"/>
    </row>
    <row r="60" spans="1:16" x14ac:dyDescent="0.25">
      <c r="A60" s="779"/>
      <c r="B60" s="1161"/>
      <c r="C60" s="1162"/>
      <c r="D60" s="1162"/>
      <c r="F60" s="845" t="s">
        <v>447</v>
      </c>
      <c r="G60" s="871" t="e">
        <f>G59*G11</f>
        <v>#DIV/0!</v>
      </c>
      <c r="H60" s="779"/>
      <c r="I60" s="779"/>
      <c r="J60" s="838"/>
    </row>
    <row r="61" spans="1:16" x14ac:dyDescent="0.25">
      <c r="A61" s="779"/>
      <c r="B61" s="1162"/>
      <c r="D61" s="824"/>
      <c r="F61" s="845" t="s">
        <v>448</v>
      </c>
      <c r="G61" s="783" t="e">
        <f>VLOOKUP(G14/100,PEL!A14:C19,3)</f>
        <v>#VALUE!</v>
      </c>
      <c r="H61" s="779"/>
      <c r="I61" s="779"/>
      <c r="J61" s="838"/>
    </row>
    <row r="62" spans="1:16" x14ac:dyDescent="0.25">
      <c r="A62" s="779"/>
      <c r="B62" s="555"/>
      <c r="F62" s="845" t="s">
        <v>147</v>
      </c>
      <c r="G62" s="865" t="e">
        <f>IF(G14/100&lt;80%,PEL!C10,IF(AND(G14/100&gt;=80%,G14/100&lt;=90%),PEL!$C$8,IF(G14/100&gt;90%,PEL!$C$9)))</f>
        <v>#VALUE!</v>
      </c>
      <c r="H62" s="779"/>
      <c r="I62" s="779"/>
      <c r="J62" s="838"/>
    </row>
    <row r="63" spans="1:16" ht="15.75" thickBot="1" x14ac:dyDescent="0.3">
      <c r="A63" s="779"/>
      <c r="B63" s="555"/>
      <c r="C63" s="555"/>
      <c r="D63" s="555"/>
      <c r="F63" s="872" t="s">
        <v>449</v>
      </c>
      <c r="G63" s="873" t="e">
        <f>IF(G59&gt;G62,"YES","NO")</f>
        <v>#DIV/0!</v>
      </c>
      <c r="H63" s="874"/>
      <c r="I63" s="874"/>
      <c r="J63" s="875"/>
    </row>
    <row r="66" spans="9:11" x14ac:dyDescent="0.25">
      <c r="I66" s="1158"/>
      <c r="K66" s="1159"/>
    </row>
    <row r="67" spans="9:11" x14ac:dyDescent="0.25">
      <c r="I67" s="1159"/>
      <c r="K67" s="1159"/>
    </row>
  </sheetData>
  <sheetProtection algorithmName="SHA-512" hashValue="B/gsWyjPg7SEIAZDtbvlvwa8xNA3L+37hH8vmUeQhObN/nkIk7Tv/MvDLWgt5FMk9KBaI3Z2LPt+wL/YjxWZsg==" saltValue="6l12ClVWPtej5wUhk+XTFA==" spinCount="100000" sheet="1" selectLockedCells="1" selectUnlockedCells="1"/>
  <mergeCells count="2">
    <mergeCell ref="D5:N6"/>
    <mergeCell ref="O9:P9"/>
  </mergeCells>
  <phoneticPr fontId="89" type="noConversion"/>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750A0C96-F882-454E-9BF1-9D157EF66963}">
            <xm:f>#REF!='Drop down'!$C$7</xm:f>
            <x14:dxf>
              <font>
                <color theme="0"/>
              </font>
              <fill>
                <patternFill>
                  <bgColor theme="0"/>
                </patternFill>
              </fill>
            </x14:dxf>
          </x14:cfRule>
          <xm:sqref>A12:B23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7367"/>
    <pageSetUpPr autoPageBreaks="0" fitToPage="1"/>
  </sheetPr>
  <dimension ref="A1:N40"/>
  <sheetViews>
    <sheetView showGridLines="0" zoomScaleNormal="100" workbookViewId="0">
      <pane xSplit="2" topLeftCell="C1" activePane="topRight" state="frozen"/>
      <selection activeCell="A32" sqref="A32"/>
      <selection pane="topRight" activeCell="D6" sqref="D6:I6"/>
    </sheetView>
  </sheetViews>
  <sheetFormatPr defaultColWidth="32.5703125" defaultRowHeight="16.5" outlineLevelRow="1" x14ac:dyDescent="0.3"/>
  <cols>
    <col min="1" max="1" width="0.85546875" style="598" customWidth="1"/>
    <col min="2" max="2" width="12.7109375" style="593" customWidth="1"/>
    <col min="3" max="3" width="19.7109375" style="595" customWidth="1"/>
    <col min="4" max="4" width="27" style="598" customWidth="1"/>
    <col min="5" max="5" width="16.7109375" style="598" customWidth="1"/>
    <col min="6" max="6" width="14.140625" style="598" customWidth="1"/>
    <col min="7" max="7" width="7.28515625" style="598" customWidth="1"/>
    <col min="8" max="8" width="14.28515625" style="598" customWidth="1"/>
    <col min="9" max="9" width="27.140625" style="598" customWidth="1"/>
    <col min="10" max="16384" width="32.5703125" style="598"/>
  </cols>
  <sheetData>
    <row r="1" spans="1:12" ht="6.75" customHeight="1" x14ac:dyDescent="0.3">
      <c r="A1" s="592"/>
      <c r="B1" s="595"/>
      <c r="D1" s="592"/>
      <c r="E1" s="592"/>
      <c r="F1" s="592"/>
      <c r="G1" s="592"/>
      <c r="H1" s="592"/>
      <c r="I1" s="592"/>
      <c r="J1" s="592"/>
    </row>
    <row r="2" spans="1:12" ht="54" customHeight="1" thickBot="1" x14ac:dyDescent="0.35">
      <c r="A2" s="592"/>
      <c r="B2" s="596"/>
      <c r="C2" s="597"/>
      <c r="D2" s="592"/>
      <c r="E2" s="592"/>
      <c r="F2" s="592"/>
      <c r="G2" s="592"/>
      <c r="H2" s="592"/>
      <c r="I2" s="592"/>
      <c r="J2" s="592"/>
    </row>
    <row r="3" spans="1:12" ht="21" hidden="1" customHeight="1" outlineLevel="1" thickBot="1" x14ac:dyDescent="0.35">
      <c r="A3" s="592"/>
      <c r="B3" s="1724" t="s">
        <v>450</v>
      </c>
      <c r="C3" s="1725"/>
      <c r="D3" s="1725"/>
      <c r="E3" s="1725"/>
      <c r="F3" s="1725"/>
      <c r="G3" s="1725"/>
      <c r="H3" s="1725"/>
      <c r="I3" s="1725"/>
      <c r="J3" s="1725"/>
    </row>
    <row r="4" spans="1:12" ht="21" hidden="1" customHeight="1" outlineLevel="1" thickBot="1" x14ac:dyDescent="0.35">
      <c r="A4" s="592"/>
      <c r="B4" s="1725"/>
      <c r="C4" s="1725"/>
      <c r="D4" s="1725"/>
      <c r="E4" s="1725"/>
      <c r="F4" s="1725"/>
      <c r="G4" s="1725"/>
      <c r="H4" s="1725"/>
      <c r="I4" s="1725"/>
      <c r="J4" s="1725"/>
    </row>
    <row r="5" spans="1:12" ht="59.25" customHeight="1" collapsed="1" thickBot="1" x14ac:dyDescent="0.35">
      <c r="A5" s="592"/>
      <c r="B5" s="1726" t="s">
        <v>9</v>
      </c>
      <c r="C5" s="1727"/>
      <c r="D5" s="1732" t="s">
        <v>451</v>
      </c>
      <c r="E5" s="1733"/>
      <c r="F5" s="1733" t="e">
        <f>IF(AND(D5="Interest only",#REF!&gt;60%),"WARNING LOAN EXCEEDS 60% LTV","")</f>
        <v>#REF!</v>
      </c>
      <c r="G5" s="1733"/>
      <c r="H5" s="1733"/>
      <c r="I5" s="1734"/>
      <c r="J5" s="592"/>
      <c r="K5" s="594"/>
    </row>
    <row r="6" spans="1:12" ht="183" customHeight="1" thickBot="1" x14ac:dyDescent="0.35">
      <c r="A6" s="592"/>
      <c r="B6" s="766" t="s">
        <v>452</v>
      </c>
      <c r="C6" s="767"/>
      <c r="D6" s="1735" t="s">
        <v>453</v>
      </c>
      <c r="E6" s="1736"/>
      <c r="F6" s="1736"/>
      <c r="G6" s="1736"/>
      <c r="H6" s="1736"/>
      <c r="I6" s="1737"/>
      <c r="J6" s="592"/>
      <c r="K6" s="594"/>
    </row>
    <row r="7" spans="1:12" ht="58.5" customHeight="1" thickBot="1" x14ac:dyDescent="0.35">
      <c r="A7" s="592"/>
      <c r="B7" s="1715" t="s">
        <v>454</v>
      </c>
      <c r="C7" s="1716"/>
      <c r="D7" s="1709" t="s">
        <v>455</v>
      </c>
      <c r="E7" s="1710"/>
      <c r="F7" s="1710"/>
      <c r="G7" s="1710"/>
      <c r="H7" s="1710"/>
      <c r="I7" s="1711"/>
      <c r="J7" s="592"/>
      <c r="K7" s="594"/>
    </row>
    <row r="8" spans="1:12" ht="33" customHeight="1" thickBot="1" x14ac:dyDescent="0.35">
      <c r="A8" s="592"/>
      <c r="B8" s="1715" t="s">
        <v>456</v>
      </c>
      <c r="C8" s="1716"/>
      <c r="D8" s="1712" t="s">
        <v>457</v>
      </c>
      <c r="E8" s="1713"/>
      <c r="F8" s="1713"/>
      <c r="G8" s="1713"/>
      <c r="H8" s="1713"/>
      <c r="I8" s="1714"/>
      <c r="J8" s="592"/>
      <c r="K8" s="594"/>
    </row>
    <row r="9" spans="1:12" ht="98.25" customHeight="1" thickBot="1" x14ac:dyDescent="0.35">
      <c r="A9" s="592"/>
      <c r="B9" s="1728" t="s">
        <v>458</v>
      </c>
      <c r="C9" s="1729"/>
      <c r="D9" s="1706" t="s">
        <v>459</v>
      </c>
      <c r="E9" s="1707"/>
      <c r="F9" s="1707"/>
      <c r="G9" s="1707"/>
      <c r="H9" s="1707"/>
      <c r="I9" s="1708"/>
      <c r="J9" s="599"/>
      <c r="K9" s="594"/>
    </row>
    <row r="10" spans="1:12" ht="33" customHeight="1" thickBot="1" x14ac:dyDescent="0.35">
      <c r="A10" s="592"/>
      <c r="B10" s="1728" t="s">
        <v>460</v>
      </c>
      <c r="C10" s="1730"/>
      <c r="D10" s="1703" t="s">
        <v>461</v>
      </c>
      <c r="E10" s="1704"/>
      <c r="F10" s="1704"/>
      <c r="G10" s="1704"/>
      <c r="H10" s="1704"/>
      <c r="I10" s="1705"/>
      <c r="J10" s="592"/>
      <c r="K10" s="592"/>
      <c r="L10" s="592"/>
    </row>
    <row r="11" spans="1:12" ht="35.25" customHeight="1" outlineLevel="1" thickBot="1" x14ac:dyDescent="0.35">
      <c r="A11" s="592"/>
      <c r="B11" s="1728" t="s">
        <v>126</v>
      </c>
      <c r="C11" s="1729"/>
      <c r="D11" s="1706" t="s">
        <v>462</v>
      </c>
      <c r="E11" s="1707"/>
      <c r="F11" s="1707"/>
      <c r="G11" s="1707"/>
      <c r="H11" s="1707"/>
      <c r="I11" s="1708"/>
      <c r="J11" s="592"/>
      <c r="K11" s="592"/>
      <c r="L11" s="592"/>
    </row>
    <row r="12" spans="1:12" ht="17.25" thickBot="1" x14ac:dyDescent="0.35">
      <c r="A12" s="592"/>
      <c r="B12" s="609" t="s">
        <v>118</v>
      </c>
      <c r="C12" s="594"/>
      <c r="D12" s="592"/>
      <c r="E12" s="601"/>
      <c r="F12" s="601"/>
      <c r="G12" s="592"/>
      <c r="H12" s="601"/>
      <c r="I12" s="592"/>
      <c r="J12" s="592"/>
      <c r="K12" s="592"/>
      <c r="L12" s="592"/>
    </row>
    <row r="13" spans="1:12" ht="82.5" customHeight="1" thickBot="1" x14ac:dyDescent="0.35">
      <c r="A13" s="592"/>
      <c r="B13" s="771" t="s">
        <v>463</v>
      </c>
      <c r="C13" s="772"/>
      <c r="D13" s="1706" t="s">
        <v>464</v>
      </c>
      <c r="E13" s="1707"/>
      <c r="F13" s="1707"/>
      <c r="G13" s="1707"/>
      <c r="H13" s="1707"/>
      <c r="I13" s="1708"/>
      <c r="J13" s="592"/>
      <c r="K13" s="592"/>
      <c r="L13" s="594"/>
    </row>
    <row r="14" spans="1:12" ht="36.75" customHeight="1" thickBot="1" x14ac:dyDescent="0.35">
      <c r="A14" s="592"/>
      <c r="B14" s="1728" t="s">
        <v>465</v>
      </c>
      <c r="C14" s="1731"/>
      <c r="D14" s="1706" t="s">
        <v>466</v>
      </c>
      <c r="E14" s="1707"/>
      <c r="F14" s="1707"/>
      <c r="G14" s="1707"/>
      <c r="H14" s="1707"/>
      <c r="I14" s="1708"/>
      <c r="J14" s="592"/>
      <c r="K14" s="592"/>
      <c r="L14" s="594"/>
    </row>
    <row r="15" spans="1:12" ht="48" customHeight="1" thickBot="1" x14ac:dyDescent="0.35">
      <c r="A15" s="592"/>
      <c r="B15" s="1728" t="s">
        <v>467</v>
      </c>
      <c r="C15" s="1731"/>
      <c r="D15" s="1706" t="s">
        <v>468</v>
      </c>
      <c r="E15" s="1707"/>
      <c r="F15" s="1707"/>
      <c r="G15" s="1707"/>
      <c r="H15" s="1707"/>
      <c r="I15" s="1708"/>
      <c r="J15" s="592"/>
      <c r="K15" s="592"/>
      <c r="L15" s="594"/>
    </row>
    <row r="16" spans="1:12" ht="39.75" customHeight="1" thickBot="1" x14ac:dyDescent="0.35">
      <c r="A16" s="592"/>
      <c r="B16" s="1715" t="s">
        <v>469</v>
      </c>
      <c r="C16" s="1749"/>
      <c r="D16" s="1700" t="s">
        <v>470</v>
      </c>
      <c r="E16" s="1701"/>
      <c r="F16" s="1701"/>
      <c r="G16" s="1701"/>
      <c r="H16" s="1701"/>
      <c r="I16" s="1702"/>
      <c r="J16" s="592"/>
      <c r="K16" s="592"/>
      <c r="L16" s="594"/>
    </row>
    <row r="17" spans="1:14" ht="64.5" customHeight="1" thickBot="1" x14ac:dyDescent="0.35">
      <c r="A17" s="592"/>
      <c r="B17" s="1728" t="s">
        <v>471</v>
      </c>
      <c r="C17" s="1750"/>
      <c r="D17" s="1753" t="s">
        <v>472</v>
      </c>
      <c r="E17" s="1754"/>
      <c r="F17" s="1754"/>
      <c r="G17" s="1754"/>
      <c r="H17" s="1754"/>
      <c r="I17" s="1755"/>
      <c r="J17" s="592"/>
      <c r="K17" s="592"/>
      <c r="L17" s="594"/>
    </row>
    <row r="18" spans="1:14" ht="133.5" customHeight="1" thickBot="1" x14ac:dyDescent="0.35">
      <c r="A18" s="592"/>
      <c r="B18" s="1728" t="s">
        <v>473</v>
      </c>
      <c r="C18" s="1731"/>
      <c r="D18" s="1706" t="s">
        <v>474</v>
      </c>
      <c r="E18" s="1707"/>
      <c r="F18" s="1707"/>
      <c r="G18" s="1707"/>
      <c r="H18" s="1707"/>
      <c r="I18" s="1708"/>
      <c r="J18" s="592"/>
      <c r="K18" s="592"/>
    </row>
    <row r="19" spans="1:14" ht="17.25" thickBot="1" x14ac:dyDescent="0.35">
      <c r="A19" s="592"/>
      <c r="B19" s="1740" t="s">
        <v>475</v>
      </c>
      <c r="C19" s="1741"/>
      <c r="D19" s="1742"/>
      <c r="E19" s="1742"/>
      <c r="F19" s="1742"/>
      <c r="G19" s="1742"/>
      <c r="H19" s="1742"/>
      <c r="I19" s="1743"/>
      <c r="J19" s="592"/>
      <c r="K19" s="592"/>
    </row>
    <row r="20" spans="1:14" ht="117" customHeight="1" thickBot="1" x14ac:dyDescent="0.35">
      <c r="A20" s="592"/>
      <c r="B20" s="1712" t="s">
        <v>476</v>
      </c>
      <c r="C20" s="1713"/>
      <c r="D20" s="1713"/>
      <c r="E20" s="1713"/>
      <c r="F20" s="1713"/>
      <c r="G20" s="1713"/>
      <c r="H20" s="1713"/>
      <c r="I20" s="1714"/>
      <c r="J20" s="592"/>
      <c r="K20" s="592"/>
    </row>
    <row r="21" spans="1:14" ht="80.25" customHeight="1" outlineLevel="1" thickBot="1" x14ac:dyDescent="0.35">
      <c r="A21" s="592"/>
      <c r="B21" s="1751" t="s">
        <v>127</v>
      </c>
      <c r="C21" s="1752" t="s">
        <v>128</v>
      </c>
      <c r="D21" s="1706" t="s">
        <v>477</v>
      </c>
      <c r="E21" s="1738"/>
      <c r="F21" s="1738"/>
      <c r="G21" s="1738"/>
      <c r="H21" s="1738"/>
      <c r="I21" s="1739"/>
      <c r="J21" s="592"/>
      <c r="K21" s="594"/>
      <c r="L21" s="594"/>
      <c r="M21" s="594"/>
      <c r="N21" s="594"/>
    </row>
    <row r="22" spans="1:14" ht="69.75" customHeight="1" outlineLevel="1" thickBot="1" x14ac:dyDescent="0.35">
      <c r="A22" s="592"/>
      <c r="B22" s="1715" t="s">
        <v>129</v>
      </c>
      <c r="C22" s="1716">
        <v>4</v>
      </c>
      <c r="D22" s="1706" t="s">
        <v>478</v>
      </c>
      <c r="E22" s="1738"/>
      <c r="F22" s="1738"/>
      <c r="G22" s="1738"/>
      <c r="H22" s="1738"/>
      <c r="I22" s="1739"/>
      <c r="J22" s="592"/>
      <c r="K22" s="594"/>
      <c r="L22" s="594"/>
      <c r="M22" s="594"/>
      <c r="N22" s="594"/>
    </row>
    <row r="23" spans="1:14" ht="34.5" customHeight="1" outlineLevel="1" thickBot="1" x14ac:dyDescent="0.35">
      <c r="A23" s="592"/>
      <c r="B23" s="1715" t="s">
        <v>479</v>
      </c>
      <c r="C23" s="1716">
        <v>4</v>
      </c>
      <c r="D23" s="1706" t="s">
        <v>480</v>
      </c>
      <c r="E23" s="1707"/>
      <c r="F23" s="1707"/>
      <c r="G23" s="1707"/>
      <c r="H23" s="1707"/>
      <c r="I23" s="1708"/>
      <c r="J23" s="592"/>
      <c r="K23" s="592"/>
      <c r="L23" s="599"/>
      <c r="M23" s="592"/>
      <c r="N23" s="592"/>
    </row>
    <row r="24" spans="1:14" ht="50.25" customHeight="1" outlineLevel="1" thickBot="1" x14ac:dyDescent="0.35">
      <c r="A24" s="592"/>
      <c r="B24" s="1715" t="s">
        <v>481</v>
      </c>
      <c r="C24" s="1716" t="s">
        <v>132</v>
      </c>
      <c r="D24" s="1706" t="s">
        <v>482</v>
      </c>
      <c r="E24" s="1707"/>
      <c r="F24" s="1707"/>
      <c r="G24" s="1707"/>
      <c r="H24" s="1707"/>
      <c r="I24" s="1708"/>
      <c r="J24" s="592"/>
      <c r="K24" s="592"/>
      <c r="L24" s="599"/>
      <c r="M24" s="592"/>
      <c r="N24" s="592"/>
    </row>
    <row r="25" spans="1:14" ht="45.75" customHeight="1" outlineLevel="1" thickBot="1" x14ac:dyDescent="0.35">
      <c r="A25" s="592"/>
      <c r="B25" s="1715" t="s">
        <v>483</v>
      </c>
      <c r="C25" s="1716">
        <v>7</v>
      </c>
      <c r="D25" s="1706" t="s">
        <v>484</v>
      </c>
      <c r="E25" s="1707"/>
      <c r="F25" s="1707"/>
      <c r="G25" s="1707"/>
      <c r="H25" s="1707"/>
      <c r="I25" s="1708"/>
      <c r="J25" s="592"/>
      <c r="K25" s="592"/>
      <c r="L25" s="594"/>
      <c r="M25" s="592"/>
      <c r="N25" s="592"/>
    </row>
    <row r="26" spans="1:14" ht="70.5" customHeight="1" outlineLevel="1" thickBot="1" x14ac:dyDescent="0.35">
      <c r="A26" s="592"/>
      <c r="B26" s="1715" t="s">
        <v>485</v>
      </c>
      <c r="C26" s="1716">
        <v>12</v>
      </c>
      <c r="D26" s="1706" t="s">
        <v>486</v>
      </c>
      <c r="E26" s="1707"/>
      <c r="F26" s="1707"/>
      <c r="G26" s="1707"/>
      <c r="H26" s="1707"/>
      <c r="I26" s="1708"/>
      <c r="J26" s="592"/>
      <c r="K26" s="592"/>
      <c r="L26" s="594"/>
      <c r="M26" s="592"/>
      <c r="N26" s="592"/>
    </row>
    <row r="27" spans="1:14" ht="51" customHeight="1" outlineLevel="1" thickBot="1" x14ac:dyDescent="0.35">
      <c r="A27" s="592"/>
      <c r="B27" s="1715" t="s">
        <v>487</v>
      </c>
      <c r="C27" s="1716" t="s">
        <v>134</v>
      </c>
      <c r="D27" s="1706" t="s">
        <v>488</v>
      </c>
      <c r="E27" s="1707"/>
      <c r="F27" s="1707"/>
      <c r="G27" s="1707"/>
      <c r="H27" s="1707"/>
      <c r="I27" s="1708"/>
      <c r="J27" s="592"/>
      <c r="K27" s="592"/>
      <c r="L27" s="594"/>
      <c r="M27" s="592"/>
      <c r="N27" s="592"/>
    </row>
    <row r="28" spans="1:14" ht="37.5" customHeight="1" outlineLevel="1" thickBot="1" x14ac:dyDescent="0.35">
      <c r="A28" s="592"/>
      <c r="B28" s="1715" t="s">
        <v>489</v>
      </c>
      <c r="C28" s="1716"/>
      <c r="D28" s="1706" t="s">
        <v>490</v>
      </c>
      <c r="E28" s="1707"/>
      <c r="F28" s="1707"/>
      <c r="G28" s="1707"/>
      <c r="H28" s="1707"/>
      <c r="I28" s="1708"/>
      <c r="J28" s="592"/>
      <c r="K28" s="592"/>
      <c r="L28" s="594"/>
      <c r="M28" s="592"/>
      <c r="N28" s="592"/>
    </row>
    <row r="29" spans="1:14" ht="17.25" outlineLevel="1" thickBot="1" x14ac:dyDescent="0.35">
      <c r="A29" s="592"/>
      <c r="B29" s="1715" t="s">
        <v>491</v>
      </c>
      <c r="C29" s="1716">
        <v>3</v>
      </c>
      <c r="D29" s="1706" t="s">
        <v>492</v>
      </c>
      <c r="E29" s="1707"/>
      <c r="F29" s="1707"/>
      <c r="G29" s="1707"/>
      <c r="H29" s="1707"/>
      <c r="I29" s="1708"/>
      <c r="J29" s="592"/>
      <c r="K29" s="592"/>
      <c r="L29" s="594"/>
      <c r="M29" s="592"/>
      <c r="N29" s="592"/>
    </row>
    <row r="30" spans="1:14" ht="65.25" customHeight="1" outlineLevel="1" thickBot="1" x14ac:dyDescent="0.35">
      <c r="A30" s="592"/>
      <c r="B30" s="1715" t="s">
        <v>493</v>
      </c>
      <c r="C30" s="1716"/>
      <c r="D30" s="1706" t="s">
        <v>494</v>
      </c>
      <c r="E30" s="1707"/>
      <c r="F30" s="1707"/>
      <c r="G30" s="1707"/>
      <c r="H30" s="1707"/>
      <c r="I30" s="1708"/>
      <c r="J30" s="592"/>
      <c r="K30" s="592"/>
    </row>
    <row r="31" spans="1:14" ht="46.5" customHeight="1" outlineLevel="1" thickBot="1" x14ac:dyDescent="0.35">
      <c r="A31" s="592"/>
      <c r="B31" s="1715" t="s">
        <v>495</v>
      </c>
      <c r="C31" s="1716"/>
      <c r="D31" s="1706" t="s">
        <v>496</v>
      </c>
      <c r="E31" s="1707"/>
      <c r="F31" s="1707"/>
      <c r="G31" s="1707"/>
      <c r="H31" s="1707"/>
      <c r="I31" s="1708"/>
      <c r="J31" s="592"/>
      <c r="K31" s="592"/>
    </row>
    <row r="32" spans="1:14" ht="17.25" thickBot="1" x14ac:dyDescent="0.35">
      <c r="A32" s="592"/>
      <c r="B32" s="600"/>
      <c r="C32" s="600"/>
      <c r="D32" s="592"/>
      <c r="E32" s="592"/>
      <c r="F32" s="592"/>
      <c r="G32" s="592"/>
      <c r="H32" s="592"/>
      <c r="I32" s="592"/>
      <c r="J32" s="592"/>
      <c r="K32" s="592"/>
    </row>
    <row r="33" spans="1:11" ht="17.25" customHeight="1" thickBot="1" x14ac:dyDescent="0.35">
      <c r="A33" s="592"/>
      <c r="B33" s="1717" t="s">
        <v>161</v>
      </c>
      <c r="C33" s="1719" t="s">
        <v>162</v>
      </c>
      <c r="D33" s="1720"/>
      <c r="E33" s="1720"/>
      <c r="F33" s="1720"/>
      <c r="G33" s="1720"/>
      <c r="H33" s="1720"/>
      <c r="I33" s="1747" t="s">
        <v>163</v>
      </c>
      <c r="J33" s="608"/>
      <c r="K33" s="608"/>
    </row>
    <row r="34" spans="1:11" ht="15.75" customHeight="1" thickBot="1" x14ac:dyDescent="0.35">
      <c r="A34" s="592"/>
      <c r="B34" s="1718"/>
      <c r="C34" s="1721" t="s">
        <v>36</v>
      </c>
      <c r="D34" s="1722"/>
      <c r="E34" s="1722"/>
      <c r="F34" s="1722"/>
      <c r="G34" s="1723"/>
      <c r="H34" s="800" t="s">
        <v>164</v>
      </c>
      <c r="I34" s="1748"/>
      <c r="J34" s="776"/>
      <c r="K34" s="776"/>
    </row>
    <row r="35" spans="1:11" ht="45" customHeight="1" thickBot="1" x14ac:dyDescent="0.35">
      <c r="A35" s="592"/>
      <c r="B35" s="769" t="s">
        <v>214</v>
      </c>
      <c r="C35" s="794" t="s">
        <v>497</v>
      </c>
      <c r="D35" s="795"/>
      <c r="E35" s="795"/>
      <c r="F35" s="795"/>
      <c r="G35" s="796"/>
      <c r="H35" s="797" t="s">
        <v>498</v>
      </c>
      <c r="I35" s="801" t="s">
        <v>168</v>
      </c>
      <c r="J35" s="773"/>
      <c r="K35" s="773"/>
    </row>
    <row r="36" spans="1:11" ht="45" customHeight="1" thickBot="1" x14ac:dyDescent="0.35">
      <c r="A36" s="592"/>
      <c r="B36" s="769" t="s">
        <v>215</v>
      </c>
      <c r="C36" s="794" t="s">
        <v>499</v>
      </c>
      <c r="D36" s="795"/>
      <c r="E36" s="795"/>
      <c r="F36" s="795"/>
      <c r="G36" s="798"/>
      <c r="H36" s="797" t="s">
        <v>498</v>
      </c>
      <c r="I36" s="802" t="s">
        <v>168</v>
      </c>
      <c r="J36" s="773"/>
      <c r="K36" s="773"/>
    </row>
    <row r="37" spans="1:11" ht="39.950000000000003" customHeight="1" thickBot="1" x14ac:dyDescent="0.35">
      <c r="A37" s="592"/>
      <c r="B37" s="769" t="s">
        <v>216</v>
      </c>
      <c r="C37" s="826" t="s">
        <v>500</v>
      </c>
      <c r="D37" s="827"/>
      <c r="E37" s="827"/>
      <c r="F37" s="827"/>
      <c r="G37" s="828"/>
      <c r="H37" s="797" t="s">
        <v>498</v>
      </c>
      <c r="I37" s="768" t="s">
        <v>501</v>
      </c>
      <c r="J37" s="773"/>
      <c r="K37" s="773"/>
    </row>
    <row r="38" spans="1:11" ht="39.950000000000003" customHeight="1" thickBot="1" x14ac:dyDescent="0.35">
      <c r="A38" s="592"/>
      <c r="B38" s="769" t="s">
        <v>217</v>
      </c>
      <c r="C38" s="826" t="s">
        <v>502</v>
      </c>
      <c r="D38" s="827"/>
      <c r="E38" s="827"/>
      <c r="F38" s="827"/>
      <c r="G38" s="828"/>
      <c r="H38" s="799" t="s">
        <v>503</v>
      </c>
      <c r="I38" s="770" t="s">
        <v>504</v>
      </c>
      <c r="J38" s="774"/>
      <c r="K38" s="774"/>
    </row>
    <row r="39" spans="1:11" ht="35.25" customHeight="1" thickBot="1" x14ac:dyDescent="0.35">
      <c r="A39" s="592"/>
      <c r="B39" s="1744" t="s">
        <v>173</v>
      </c>
      <c r="C39" s="1745"/>
      <c r="D39" s="1745"/>
      <c r="E39" s="1745"/>
      <c r="F39" s="1745"/>
      <c r="G39" s="1745"/>
      <c r="H39" s="1745"/>
      <c r="I39" s="1746"/>
      <c r="J39" s="607"/>
      <c r="K39" s="607"/>
    </row>
    <row r="40" spans="1:11" ht="9" customHeight="1" x14ac:dyDescent="0.3">
      <c r="A40" s="592"/>
      <c r="B40" s="595"/>
      <c r="D40" s="592"/>
      <c r="E40" s="592"/>
      <c r="F40" s="592"/>
      <c r="G40" s="592"/>
      <c r="H40" s="592"/>
      <c r="I40" s="592"/>
      <c r="J40" s="592"/>
      <c r="K40" s="592"/>
    </row>
  </sheetData>
  <sheetProtection selectLockedCells="1" selectUnlockedCells="1"/>
  <dataConsolidate/>
  <mergeCells count="54">
    <mergeCell ref="B39:I39"/>
    <mergeCell ref="B7:C7"/>
    <mergeCell ref="B11:C11"/>
    <mergeCell ref="D11:I11"/>
    <mergeCell ref="D31:I31"/>
    <mergeCell ref="B31:C31"/>
    <mergeCell ref="I33:I34"/>
    <mergeCell ref="B16:C16"/>
    <mergeCell ref="B17:C17"/>
    <mergeCell ref="B18:C18"/>
    <mergeCell ref="B21:C21"/>
    <mergeCell ref="B22:C22"/>
    <mergeCell ref="D29:I29"/>
    <mergeCell ref="D25:I25"/>
    <mergeCell ref="D26:I26"/>
    <mergeCell ref="D17:I17"/>
    <mergeCell ref="D18:I18"/>
    <mergeCell ref="D21:I21"/>
    <mergeCell ref="D22:I22"/>
    <mergeCell ref="D23:I23"/>
    <mergeCell ref="B19:I19"/>
    <mergeCell ref="B23:C23"/>
    <mergeCell ref="B3:J4"/>
    <mergeCell ref="B5:C5"/>
    <mergeCell ref="B9:C9"/>
    <mergeCell ref="B10:C10"/>
    <mergeCell ref="B15:C15"/>
    <mergeCell ref="B14:C14"/>
    <mergeCell ref="D5:I5"/>
    <mergeCell ref="D6:I6"/>
    <mergeCell ref="D13:I13"/>
    <mergeCell ref="B8:C8"/>
    <mergeCell ref="B29:C29"/>
    <mergeCell ref="B33:B34"/>
    <mergeCell ref="C33:H33"/>
    <mergeCell ref="C34:G34"/>
    <mergeCell ref="D30:I30"/>
    <mergeCell ref="B30:C30"/>
    <mergeCell ref="D28:I28"/>
    <mergeCell ref="B20:I20"/>
    <mergeCell ref="B24:C24"/>
    <mergeCell ref="B25:C25"/>
    <mergeCell ref="B26:C26"/>
    <mergeCell ref="B27:C27"/>
    <mergeCell ref="D24:I24"/>
    <mergeCell ref="B28:C28"/>
    <mergeCell ref="D27:I27"/>
    <mergeCell ref="D16:I16"/>
    <mergeCell ref="D10:I10"/>
    <mergeCell ref="D14:I14"/>
    <mergeCell ref="D15:I15"/>
    <mergeCell ref="D7:I7"/>
    <mergeCell ref="D9:I9"/>
    <mergeCell ref="D8:I8"/>
  </mergeCells>
  <phoneticPr fontId="89" type="noConversion"/>
  <pageMargins left="0.7" right="0.7" top="0.75" bottom="0.75" header="0.3" footer="0.3"/>
  <pageSetup paperSize="9" scale="4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2855FCD3-444F-4184-BAC6-8064E23CDF28}">
            <xm:f>#REF!='Drop down'!$C$7</xm:f>
            <x14:dxf>
              <font>
                <color theme="0"/>
              </font>
              <fill>
                <patternFill>
                  <bgColor theme="0"/>
                </patternFill>
              </fill>
              <border>
                <left/>
                <right/>
                <top/>
                <bottom/>
                <vertical/>
                <horizontal/>
              </border>
            </x14:dxf>
          </x14:cfRule>
          <xm:sqref>B3 B11:I11 B21:I31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002060"/>
  </sheetPr>
  <dimension ref="A1:R103"/>
  <sheetViews>
    <sheetView workbookViewId="0">
      <selection activeCell="C18" sqref="C18"/>
    </sheetView>
  </sheetViews>
  <sheetFormatPr defaultRowHeight="15" x14ac:dyDescent="0.25"/>
  <cols>
    <col min="2" max="2" width="30.140625" bestFit="1" customWidth="1"/>
    <col min="3" max="3" width="9.85546875" bestFit="1" customWidth="1"/>
    <col min="4" max="4" width="9.5703125" bestFit="1" customWidth="1"/>
    <col min="5" max="5" width="10.5703125" customWidth="1"/>
    <col min="6" max="8" width="9.5703125" bestFit="1" customWidth="1"/>
    <col min="9" max="9" width="9.85546875" bestFit="1" customWidth="1"/>
    <col min="10" max="10" width="12.140625" customWidth="1"/>
    <col min="11" max="11" width="3.28515625" customWidth="1"/>
    <col min="12" max="12" width="19.140625" customWidth="1"/>
    <col min="13" max="13" width="11.42578125" customWidth="1"/>
    <col min="14" max="14" width="16.28515625" customWidth="1"/>
    <col min="15" max="15" width="37.28515625" customWidth="1"/>
    <col min="16" max="16" width="57.140625" customWidth="1"/>
    <col min="17" max="17" width="60.7109375" customWidth="1"/>
  </cols>
  <sheetData>
    <row r="1" spans="1:17" x14ac:dyDescent="0.25">
      <c r="C1" t="s">
        <v>505</v>
      </c>
      <c r="G1" t="s">
        <v>506</v>
      </c>
    </row>
    <row r="2" spans="1:17" x14ac:dyDescent="0.25">
      <c r="B2" t="s">
        <v>176</v>
      </c>
      <c r="C2" s="412">
        <v>0</v>
      </c>
      <c r="D2" s="412">
        <v>1</v>
      </c>
      <c r="E2" s="412">
        <v>2</v>
      </c>
      <c r="F2" s="412">
        <v>3</v>
      </c>
      <c r="G2" s="412">
        <v>0</v>
      </c>
      <c r="H2" s="412">
        <v>1</v>
      </c>
      <c r="I2" s="412">
        <v>2</v>
      </c>
      <c r="J2" s="412">
        <v>3</v>
      </c>
    </row>
    <row r="3" spans="1:17" x14ac:dyDescent="0.25">
      <c r="B3" t="s">
        <v>507</v>
      </c>
      <c r="C3" s="1">
        <f>ROUND(+C49,0)</f>
        <v>1208</v>
      </c>
      <c r="D3" s="1">
        <f>ROUND(+E49,0)</f>
        <v>1342</v>
      </c>
      <c r="E3" s="1">
        <f>ROUND(+F49,0)</f>
        <v>1613</v>
      </c>
      <c r="F3" s="3">
        <f>(J3/I3)*E3</f>
        <v>1677.7554744525548</v>
      </c>
      <c r="G3" s="1">
        <f>ROUND(+D49,0)</f>
        <v>2098</v>
      </c>
      <c r="H3" s="1">
        <f>ROUND(+G49,0)</f>
        <v>2135</v>
      </c>
      <c r="I3" s="1">
        <f>ROUND(+H49,0)</f>
        <v>2192</v>
      </c>
      <c r="J3" s="1">
        <f>ROUND(+I49,0)</f>
        <v>2280</v>
      </c>
      <c r="L3" s="1697" t="s">
        <v>508</v>
      </c>
      <c r="M3" s="1697"/>
      <c r="N3" s="1697"/>
      <c r="O3" s="1697"/>
      <c r="P3" s="7"/>
    </row>
    <row r="4" spans="1:17" x14ac:dyDescent="0.25">
      <c r="L4" s="1697"/>
      <c r="M4" s="1697"/>
      <c r="N4" s="1697"/>
      <c r="O4" s="1697"/>
    </row>
    <row r="5" spans="1:17" x14ac:dyDescent="0.25">
      <c r="B5" s="713" t="s">
        <v>509</v>
      </c>
      <c r="C5" s="713">
        <v>1</v>
      </c>
      <c r="D5" s="713">
        <v>11</v>
      </c>
      <c r="E5" s="713">
        <v>21</v>
      </c>
      <c r="F5" s="713">
        <v>31</v>
      </c>
      <c r="G5" s="713">
        <v>2</v>
      </c>
      <c r="H5" s="713">
        <v>12</v>
      </c>
      <c r="I5" s="713">
        <v>22</v>
      </c>
      <c r="J5" s="713">
        <v>32</v>
      </c>
      <c r="L5" s="1697"/>
      <c r="M5" s="1697"/>
      <c r="N5" s="1697"/>
      <c r="O5" s="1697"/>
    </row>
    <row r="6" spans="1:17" x14ac:dyDescent="0.25">
      <c r="A6" s="410">
        <v>1</v>
      </c>
      <c r="B6" s="1478" t="s">
        <v>510</v>
      </c>
      <c r="C6" s="7">
        <f t="shared" ref="C6:C17" si="0">+C53*(VLOOKUP($A6,$K$29:$M$41,3,FALSE))</f>
        <v>169.43333333333334</v>
      </c>
      <c r="D6" s="7">
        <f>+E53*(VLOOKUP($A6,$K$29:$M$41,3,FALSE))</f>
        <v>205.83333333333334</v>
      </c>
      <c r="E6" s="7">
        <f>+F53*(VLOOKUP($A6,$K$29:$M$41,3,FALSE))</f>
        <v>282.09999999999997</v>
      </c>
      <c r="F6" s="7">
        <f>+G53*(VLOOKUP($A6,$K$29:$M$41,3,FALSE))</f>
        <v>350.56666666666666</v>
      </c>
      <c r="G6" s="7">
        <f t="shared" ref="G6:G17" si="1">+D53*(VLOOKUP($A6,$K$29:$M$41,3,FALSE))</f>
        <v>302.03333333333336</v>
      </c>
      <c r="H6" s="7">
        <f t="shared" ref="H6:J17" si="2">+G53*(VLOOKUP($A6,$K$29:$M$41,3,FALSE))</f>
        <v>350.56666666666666</v>
      </c>
      <c r="I6" s="7">
        <f t="shared" si="2"/>
        <v>396.06666666666666</v>
      </c>
      <c r="J6" s="7">
        <f t="shared" si="2"/>
        <v>461.06666666666666</v>
      </c>
      <c r="L6" s="1697"/>
      <c r="M6" s="1697"/>
      <c r="N6" s="1697"/>
      <c r="O6" s="1697"/>
    </row>
    <row r="7" spans="1:17" x14ac:dyDescent="0.25">
      <c r="A7" s="12">
        <v>2</v>
      </c>
      <c r="B7" s="1478" t="s">
        <v>511</v>
      </c>
      <c r="C7" s="7">
        <f t="shared" si="0"/>
        <v>17.333333333333332</v>
      </c>
      <c r="D7" s="7">
        <f t="shared" ref="D7:E17" si="3">+E54*(VLOOKUP($A7,$K$29:$M$41,3,FALSE))</f>
        <v>11.916666666666666</v>
      </c>
      <c r="E7" s="7">
        <f t="shared" si="3"/>
        <v>10.833333333333334</v>
      </c>
      <c r="F7" s="408">
        <f t="shared" ref="F7:F17" si="4">(J7/I7)*E7</f>
        <v>7.8240740740740735</v>
      </c>
      <c r="G7" s="7">
        <f t="shared" si="1"/>
        <v>30.766666666666666</v>
      </c>
      <c r="H7" s="7">
        <f t="shared" si="2"/>
        <v>19.933333333333334</v>
      </c>
      <c r="I7" s="7">
        <f t="shared" si="2"/>
        <v>23.400000000000002</v>
      </c>
      <c r="J7" s="7">
        <f t="shared" si="2"/>
        <v>16.899999999999999</v>
      </c>
      <c r="L7" s="1697"/>
      <c r="M7" s="1697"/>
      <c r="N7" s="1697"/>
      <c r="O7" s="1697"/>
    </row>
    <row r="8" spans="1:17" x14ac:dyDescent="0.25">
      <c r="A8">
        <v>3</v>
      </c>
      <c r="B8" s="1480" t="s">
        <v>512</v>
      </c>
      <c r="C8" s="7">
        <f t="shared" si="0"/>
        <v>19.933333333333334</v>
      </c>
      <c r="D8" s="7">
        <f t="shared" si="3"/>
        <v>42.900000000000006</v>
      </c>
      <c r="E8" s="7">
        <f t="shared" si="3"/>
        <v>33.15</v>
      </c>
      <c r="F8" s="408">
        <f t="shared" si="4"/>
        <v>34.293103448275865</v>
      </c>
      <c r="G8" s="7">
        <f t="shared" si="1"/>
        <v>34.450000000000003</v>
      </c>
      <c r="H8" s="7">
        <f t="shared" si="2"/>
        <v>47.883333333333333</v>
      </c>
      <c r="I8" s="7">
        <f t="shared" si="2"/>
        <v>62.833333333333336</v>
      </c>
      <c r="J8" s="7">
        <f t="shared" si="2"/>
        <v>65</v>
      </c>
      <c r="L8" s="1697"/>
      <c r="M8" s="1697"/>
      <c r="N8" s="1697"/>
      <c r="O8" s="1697"/>
    </row>
    <row r="9" spans="1:17" x14ac:dyDescent="0.25">
      <c r="A9">
        <v>4</v>
      </c>
      <c r="B9" s="1478" t="s">
        <v>1774</v>
      </c>
      <c r="C9" s="7">
        <f t="shared" si="0"/>
        <v>219.70000000000002</v>
      </c>
      <c r="D9" s="7">
        <f t="shared" si="3"/>
        <v>275.81666666666666</v>
      </c>
      <c r="E9" s="7">
        <f t="shared" si="3"/>
        <v>328.90000000000003</v>
      </c>
      <c r="F9" s="408">
        <f>(J9/I9)*E9</f>
        <v>376.56305007587258</v>
      </c>
      <c r="G9" s="7">
        <f t="shared" si="1"/>
        <v>264.55</v>
      </c>
      <c r="H9" s="7">
        <f t="shared" si="2"/>
        <v>290.76666666666665</v>
      </c>
      <c r="I9" s="7">
        <f t="shared" si="2"/>
        <v>285.56666666666666</v>
      </c>
      <c r="J9" s="7">
        <f t="shared" si="2"/>
        <v>326.95</v>
      </c>
      <c r="L9" s="1697"/>
      <c r="M9" s="1697"/>
      <c r="N9" s="1697"/>
      <c r="O9" s="1697"/>
    </row>
    <row r="10" spans="1:17" x14ac:dyDescent="0.25">
      <c r="A10" s="12">
        <v>5</v>
      </c>
      <c r="B10" s="1478" t="s">
        <v>514</v>
      </c>
      <c r="C10" s="7">
        <f t="shared" si="0"/>
        <v>47.449999999999996</v>
      </c>
      <c r="D10" s="7">
        <f t="shared" si="3"/>
        <v>42.033333333333331</v>
      </c>
      <c r="E10" s="7">
        <f t="shared" si="3"/>
        <v>68.900000000000006</v>
      </c>
      <c r="F10" s="408">
        <f t="shared" si="4"/>
        <v>68.279279279279294</v>
      </c>
      <c r="G10" s="7">
        <f t="shared" si="1"/>
        <v>115.48333333333333</v>
      </c>
      <c r="H10" s="7">
        <f t="shared" si="2"/>
        <v>95.333333333333329</v>
      </c>
      <c r="I10" s="7">
        <f t="shared" si="2"/>
        <v>72.149999999999991</v>
      </c>
      <c r="J10" s="7">
        <f t="shared" si="2"/>
        <v>71.5</v>
      </c>
      <c r="L10" s="1697"/>
      <c r="M10" s="1697"/>
      <c r="N10" s="1697"/>
      <c r="O10" s="1697"/>
    </row>
    <row r="11" spans="1:17" x14ac:dyDescent="0.25">
      <c r="A11" s="12">
        <v>6</v>
      </c>
      <c r="B11" s="1478" t="s">
        <v>515</v>
      </c>
      <c r="C11" s="7">
        <f t="shared" si="0"/>
        <v>0</v>
      </c>
      <c r="D11" s="7">
        <f t="shared" si="3"/>
        <v>0</v>
      </c>
      <c r="E11" s="7">
        <f t="shared" si="3"/>
        <v>0</v>
      </c>
      <c r="F11" s="7">
        <f>+G58*(VLOOKUP($A11,$K$29:$M$41,3,FALSE))</f>
        <v>0</v>
      </c>
      <c r="G11" s="7">
        <f t="shared" si="1"/>
        <v>0</v>
      </c>
      <c r="H11" s="7">
        <f t="shared" si="2"/>
        <v>0</v>
      </c>
      <c r="I11" s="7">
        <f t="shared" si="2"/>
        <v>0</v>
      </c>
      <c r="J11" s="7">
        <f t="shared" si="2"/>
        <v>0</v>
      </c>
      <c r="L11" s="1697"/>
      <c r="M11" s="1697"/>
      <c r="N11" s="1697"/>
      <c r="O11" s="1697"/>
      <c r="Q11" s="34" t="s">
        <v>127</v>
      </c>
    </row>
    <row r="12" spans="1:17" x14ac:dyDescent="0.25">
      <c r="A12">
        <v>7</v>
      </c>
      <c r="B12" s="1478" t="s">
        <v>516</v>
      </c>
      <c r="C12" s="7">
        <f t="shared" si="0"/>
        <v>140.83333333333334</v>
      </c>
      <c r="D12" s="7">
        <f t="shared" si="3"/>
        <v>120.83499999999999</v>
      </c>
      <c r="E12" s="7">
        <f t="shared" si="3"/>
        <v>109.56833333333333</v>
      </c>
      <c r="F12" s="408">
        <f t="shared" si="4"/>
        <v>98.817822926990402</v>
      </c>
      <c r="G12" s="7">
        <f t="shared" si="1"/>
        <v>326.45166666666671</v>
      </c>
      <c r="H12" s="7">
        <f t="shared" si="2"/>
        <v>308.70666666666671</v>
      </c>
      <c r="I12" s="7">
        <f t="shared" si="2"/>
        <v>284.20166666666671</v>
      </c>
      <c r="J12" s="7">
        <f t="shared" si="2"/>
        <v>256.31666666666666</v>
      </c>
      <c r="L12" s="1697"/>
      <c r="M12" s="1697"/>
      <c r="N12" s="1697"/>
      <c r="O12" s="1697"/>
      <c r="Q12" s="34" t="s">
        <v>129</v>
      </c>
    </row>
    <row r="13" spans="1:17" x14ac:dyDescent="0.25">
      <c r="A13" s="411">
        <v>8</v>
      </c>
      <c r="B13" s="1478" t="s">
        <v>517</v>
      </c>
      <c r="C13" s="7">
        <f t="shared" si="0"/>
        <v>65</v>
      </c>
      <c r="D13" s="7">
        <f t="shared" si="3"/>
        <v>80.600000000000009</v>
      </c>
      <c r="E13" s="7">
        <f t="shared" si="3"/>
        <v>87.966666666666683</v>
      </c>
      <c r="F13" s="408">
        <f t="shared" si="4"/>
        <v>89.309669211195953</v>
      </c>
      <c r="G13" s="7">
        <f t="shared" si="1"/>
        <v>101.83333333333333</v>
      </c>
      <c r="H13" s="7">
        <f t="shared" si="2"/>
        <v>101.83333333333333</v>
      </c>
      <c r="I13" s="7">
        <f t="shared" si="2"/>
        <v>113.53333333333332</v>
      </c>
      <c r="J13" s="7">
        <f t="shared" si="2"/>
        <v>115.26666666666667</v>
      </c>
      <c r="L13" s="1697"/>
      <c r="M13" s="1697"/>
      <c r="N13" s="1697"/>
      <c r="O13" s="1697"/>
      <c r="Q13" s="34" t="s">
        <v>479</v>
      </c>
    </row>
    <row r="14" spans="1:17" x14ac:dyDescent="0.25">
      <c r="A14" s="12">
        <v>9</v>
      </c>
      <c r="B14" s="1478" t="s">
        <v>518</v>
      </c>
      <c r="C14" s="7">
        <f t="shared" si="0"/>
        <v>51.870000000000005</v>
      </c>
      <c r="D14" s="7">
        <f t="shared" si="3"/>
        <v>51.718333333333334</v>
      </c>
      <c r="E14" s="7">
        <f t="shared" si="3"/>
        <v>74.316666666666663</v>
      </c>
      <c r="F14" s="408">
        <f t="shared" si="4"/>
        <v>70.254340836012886</v>
      </c>
      <c r="G14" s="7">
        <f t="shared" si="1"/>
        <v>126.94500000000001</v>
      </c>
      <c r="H14" s="7">
        <f t="shared" si="2"/>
        <v>118.755</v>
      </c>
      <c r="I14" s="7">
        <f t="shared" si="2"/>
        <v>141.50499999999997</v>
      </c>
      <c r="J14" s="7">
        <f t="shared" si="2"/>
        <v>133.77000000000001</v>
      </c>
      <c r="L14" s="1697"/>
      <c r="M14" s="1697"/>
      <c r="N14" s="1697"/>
      <c r="O14" s="1697"/>
      <c r="Q14" s="407" t="s">
        <v>481</v>
      </c>
    </row>
    <row r="15" spans="1:17" x14ac:dyDescent="0.25">
      <c r="A15" s="12">
        <v>10</v>
      </c>
      <c r="B15" s="1478" t="s">
        <v>519</v>
      </c>
      <c r="C15" s="7">
        <f t="shared" si="0"/>
        <v>0</v>
      </c>
      <c r="D15" s="7">
        <f t="shared" si="3"/>
        <v>0</v>
      </c>
      <c r="E15" s="7">
        <f t="shared" si="3"/>
        <v>0</v>
      </c>
      <c r="F15" s="408"/>
      <c r="G15" s="7">
        <f t="shared" si="1"/>
        <v>0</v>
      </c>
      <c r="H15" s="7">
        <f t="shared" si="2"/>
        <v>0</v>
      </c>
      <c r="I15" s="7">
        <f t="shared" si="2"/>
        <v>0</v>
      </c>
      <c r="J15" s="7">
        <f t="shared" si="2"/>
        <v>0</v>
      </c>
      <c r="L15" s="1697"/>
      <c r="M15" s="1697"/>
      <c r="N15" s="1697"/>
      <c r="O15" s="1697"/>
      <c r="Q15" s="403" t="s">
        <v>520</v>
      </c>
    </row>
    <row r="16" spans="1:17" x14ac:dyDescent="0.25">
      <c r="A16" s="409">
        <v>11</v>
      </c>
      <c r="B16" s="1479" t="s">
        <v>521</v>
      </c>
      <c r="C16" s="7">
        <f t="shared" si="0"/>
        <v>40.949999999999996</v>
      </c>
      <c r="D16" s="7">
        <f t="shared" si="3"/>
        <v>39.281666666666666</v>
      </c>
      <c r="E16" s="7">
        <f t="shared" si="3"/>
        <v>33.214999999999996</v>
      </c>
      <c r="F16" s="408">
        <f t="shared" si="4"/>
        <v>29.171434782608685</v>
      </c>
      <c r="G16" s="7">
        <f t="shared" si="1"/>
        <v>89.331666666666663</v>
      </c>
      <c r="H16" s="7">
        <f t="shared" si="2"/>
        <v>79.17</v>
      </c>
      <c r="I16" s="7">
        <f t="shared" si="2"/>
        <v>69.766666666666666</v>
      </c>
      <c r="J16" s="7">
        <f t="shared" si="2"/>
        <v>61.273333333333319</v>
      </c>
      <c r="L16" s="1697"/>
      <c r="M16" s="1697"/>
      <c r="N16" s="1697"/>
      <c r="O16" s="1697"/>
      <c r="Q16" s="403" t="s">
        <v>485</v>
      </c>
    </row>
    <row r="17" spans="1:18" x14ac:dyDescent="0.25">
      <c r="A17" s="409">
        <v>12</v>
      </c>
      <c r="B17" s="1478" t="s">
        <v>522</v>
      </c>
      <c r="C17" s="7">
        <f t="shared" si="0"/>
        <v>57.849999999999994</v>
      </c>
      <c r="D17" s="7">
        <f t="shared" si="3"/>
        <v>42.25</v>
      </c>
      <c r="E17" s="7">
        <f t="shared" si="3"/>
        <v>61.75</v>
      </c>
      <c r="F17" s="408">
        <f t="shared" si="4"/>
        <v>53.055600000000005</v>
      </c>
      <c r="G17" s="7">
        <f t="shared" si="1"/>
        <v>104.64999999999999</v>
      </c>
      <c r="H17" s="7">
        <f t="shared" si="2"/>
        <v>131.73333333333332</v>
      </c>
      <c r="I17" s="7">
        <f t="shared" si="2"/>
        <v>135.41666666666666</v>
      </c>
      <c r="J17" s="7">
        <f t="shared" si="2"/>
        <v>116.35000000000001</v>
      </c>
      <c r="L17" s="1697"/>
      <c r="M17" s="1697"/>
      <c r="N17" s="1697"/>
      <c r="O17" s="1697"/>
      <c r="Q17" s="34" t="s">
        <v>487</v>
      </c>
    </row>
    <row r="18" spans="1:18" x14ac:dyDescent="0.25">
      <c r="B18" s="1479" t="s">
        <v>1748</v>
      </c>
      <c r="C18" s="7">
        <f>SUM(C8)+(C10)+(C16)</f>
        <v>108.33333333333331</v>
      </c>
      <c r="D18" s="7">
        <f t="shared" ref="D18:J18" si="5">SUM(D8)+(D10)+(D16)</f>
        <v>124.215</v>
      </c>
      <c r="E18" s="7">
        <f t="shared" si="5"/>
        <v>135.26500000000001</v>
      </c>
      <c r="F18" s="7">
        <f t="shared" si="5"/>
        <v>131.74381751016384</v>
      </c>
      <c r="G18" s="7">
        <f t="shared" si="5"/>
        <v>239.26499999999999</v>
      </c>
      <c r="H18" s="7">
        <f t="shared" si="5"/>
        <v>222.38666666666666</v>
      </c>
      <c r="I18" s="7">
        <f t="shared" si="5"/>
        <v>204.75</v>
      </c>
      <c r="J18" s="7">
        <f t="shared" si="5"/>
        <v>197.77333333333331</v>
      </c>
      <c r="L18" s="1697"/>
      <c r="M18" s="1697"/>
      <c r="N18" s="1697"/>
      <c r="O18" s="1697"/>
      <c r="Q18" s="34" t="s">
        <v>523</v>
      </c>
    </row>
    <row r="19" spans="1:18" x14ac:dyDescent="0.25">
      <c r="C19" s="1385">
        <f>SUM(C6+C7+C8+C9+C10+C12+C13+C14+C17)</f>
        <v>789.40333333333342</v>
      </c>
      <c r="D19" s="1385">
        <f t="shared" ref="D19:J19" si="6">SUM(D6+D7+D8+D9+D10+D12+D13+D14+D17)</f>
        <v>873.90333333333342</v>
      </c>
      <c r="E19" s="1385">
        <f t="shared" si="6"/>
        <v>1057.4849999999999</v>
      </c>
      <c r="F19" s="1385">
        <f t="shared" si="6"/>
        <v>1148.9636065183677</v>
      </c>
      <c r="G19" s="1385">
        <f t="shared" si="6"/>
        <v>1407.1633333333334</v>
      </c>
      <c r="H19" s="1385">
        <f t="shared" si="6"/>
        <v>1465.5116666666665</v>
      </c>
      <c r="I19" s="1385">
        <f t="shared" si="6"/>
        <v>1514.6733333333332</v>
      </c>
      <c r="J19" s="1385">
        <f t="shared" si="6"/>
        <v>1563.12</v>
      </c>
      <c r="L19" s="1697"/>
      <c r="M19" s="1697"/>
      <c r="N19" s="1697"/>
      <c r="O19" s="1697"/>
      <c r="Q19" s="34"/>
    </row>
    <row r="20" spans="1:18" x14ac:dyDescent="0.25">
      <c r="C20" s="714" t="s">
        <v>524</v>
      </c>
      <c r="D20" s="32"/>
      <c r="E20" s="32"/>
      <c r="F20" s="32"/>
      <c r="G20" s="32"/>
      <c r="H20" s="32"/>
      <c r="I20" s="32"/>
      <c r="L20" s="1697"/>
      <c r="M20" s="1697"/>
      <c r="N20" s="1697"/>
      <c r="O20" s="1697"/>
      <c r="Q20" s="34" t="s">
        <v>52</v>
      </c>
    </row>
    <row r="21" spans="1:18" x14ac:dyDescent="0.25">
      <c r="B21" s="12"/>
      <c r="C21" s="12"/>
      <c r="D21" s="12"/>
      <c r="E21" s="12"/>
      <c r="F21" s="12"/>
      <c r="G21" s="12"/>
      <c r="H21" s="12"/>
      <c r="I21" s="12"/>
      <c r="J21" s="12"/>
      <c r="Q21" s="34"/>
    </row>
    <row r="22" spans="1:18" x14ac:dyDescent="0.25">
      <c r="L22" s="10" t="s">
        <v>525</v>
      </c>
      <c r="Q22" s="33" t="s">
        <v>526</v>
      </c>
    </row>
    <row r="23" spans="1:18" x14ac:dyDescent="0.25">
      <c r="A23" s="602"/>
      <c r="B23" s="602"/>
      <c r="C23" s="16" t="s">
        <v>527</v>
      </c>
      <c r="D23" s="17" t="s">
        <v>528</v>
      </c>
      <c r="E23" s="18" t="s">
        <v>529</v>
      </c>
      <c r="F23" s="19"/>
      <c r="G23" s="18" t="s">
        <v>530</v>
      </c>
      <c r="H23" s="19"/>
      <c r="I23" s="20"/>
      <c r="L23" s="808" t="s">
        <v>531</v>
      </c>
      <c r="Q23" s="34"/>
    </row>
    <row r="24" spans="1:18" x14ac:dyDescent="0.25">
      <c r="A24" s="602"/>
      <c r="B24" s="602"/>
      <c r="C24" s="17" t="s">
        <v>532</v>
      </c>
      <c r="D24" s="17" t="s">
        <v>533</v>
      </c>
      <c r="E24" s="16" t="s">
        <v>534</v>
      </c>
      <c r="F24" s="21" t="s">
        <v>534</v>
      </c>
      <c r="G24" s="17" t="s">
        <v>534</v>
      </c>
      <c r="H24" s="21" t="s">
        <v>534</v>
      </c>
      <c r="I24" s="21" t="s">
        <v>534</v>
      </c>
      <c r="Q24" s="33" t="s">
        <v>535</v>
      </c>
    </row>
    <row r="25" spans="1:18" x14ac:dyDescent="0.25">
      <c r="A25" s="602"/>
      <c r="B25" s="602"/>
      <c r="C25" s="17" t="s">
        <v>536</v>
      </c>
      <c r="D25" s="17"/>
      <c r="E25" s="16" t="s">
        <v>537</v>
      </c>
      <c r="F25" s="16" t="s">
        <v>538</v>
      </c>
      <c r="G25" s="16" t="s">
        <v>537</v>
      </c>
      <c r="H25" s="16" t="s">
        <v>538</v>
      </c>
      <c r="I25" s="16" t="s">
        <v>539</v>
      </c>
      <c r="L25" s="16" t="s">
        <v>540</v>
      </c>
      <c r="Q25" s="34"/>
    </row>
    <row r="26" spans="1:18" x14ac:dyDescent="0.25">
      <c r="A26" s="602"/>
      <c r="B26" s="602"/>
      <c r="C26" s="22"/>
      <c r="D26" s="22"/>
      <c r="E26" s="16" t="s">
        <v>541</v>
      </c>
      <c r="F26" s="16" t="s">
        <v>542</v>
      </c>
      <c r="G26" s="16" t="s">
        <v>541</v>
      </c>
      <c r="H26" s="16" t="s">
        <v>543</v>
      </c>
      <c r="I26" s="16" t="s">
        <v>542</v>
      </c>
      <c r="Q26" s="34" t="s">
        <v>493</v>
      </c>
    </row>
    <row r="27" spans="1:18" x14ac:dyDescent="0.25">
      <c r="A27" s="603"/>
      <c r="B27" s="603"/>
      <c r="C27" s="23"/>
      <c r="D27" s="23"/>
      <c r="E27" s="22"/>
      <c r="F27" s="16" t="s">
        <v>543</v>
      </c>
      <c r="G27" s="22"/>
      <c r="H27" s="22"/>
      <c r="I27" s="16" t="s">
        <v>543</v>
      </c>
      <c r="K27" s="1756" t="s">
        <v>544</v>
      </c>
      <c r="L27" s="1756"/>
      <c r="M27" s="1756"/>
      <c r="N27" s="1756"/>
      <c r="O27" s="1756"/>
      <c r="P27" s="1756"/>
    </row>
    <row r="28" spans="1:18" ht="63" customHeight="1" x14ac:dyDescent="0.25">
      <c r="A28" s="23"/>
      <c r="B28" s="23"/>
      <c r="C28" s="604"/>
      <c r="D28" s="604"/>
      <c r="E28" s="604"/>
      <c r="F28" s="604"/>
      <c r="G28" s="604"/>
      <c r="H28" s="604"/>
      <c r="I28" s="604"/>
      <c r="K28" s="1757" t="s">
        <v>121</v>
      </c>
      <c r="L28" s="1758"/>
      <c r="M28" s="427" t="s">
        <v>545</v>
      </c>
      <c r="N28" s="427" t="s">
        <v>546</v>
      </c>
      <c r="O28" s="427" t="s">
        <v>547</v>
      </c>
      <c r="P28" s="426" t="s">
        <v>548</v>
      </c>
      <c r="Q28" s="427" t="s">
        <v>549</v>
      </c>
      <c r="R28" s="432" t="s">
        <v>550</v>
      </c>
    </row>
    <row r="29" spans="1:18" ht="30" x14ac:dyDescent="0.25">
      <c r="A29" s="805">
        <v>1</v>
      </c>
      <c r="B29" s="24" t="s">
        <v>510</v>
      </c>
      <c r="C29" s="27">
        <v>39.1</v>
      </c>
      <c r="D29" s="27">
        <v>69.7</v>
      </c>
      <c r="E29" s="27">
        <v>47.5</v>
      </c>
      <c r="F29" s="27">
        <v>65.099999999999994</v>
      </c>
      <c r="G29" s="27">
        <v>80.900000000000006</v>
      </c>
      <c r="H29" s="27">
        <v>91.4</v>
      </c>
      <c r="I29" s="27">
        <v>106.4</v>
      </c>
      <c r="K29" s="428">
        <v>1</v>
      </c>
      <c r="L29" s="429" t="s">
        <v>551</v>
      </c>
      <c r="M29" s="430">
        <v>1</v>
      </c>
      <c r="N29" s="430" t="str">
        <f>VLOOKUP($K29,'ONS expenditure breakdown A1'!$K$17:$Q$757,7,FALSE)</f>
        <v>Essential</v>
      </c>
      <c r="O29" s="431" t="s">
        <v>552</v>
      </c>
      <c r="P29" s="431" t="s">
        <v>128</v>
      </c>
      <c r="Q29" s="431" t="s">
        <v>1775</v>
      </c>
    </row>
    <row r="30" spans="1:18" ht="60" x14ac:dyDescent="0.25">
      <c r="A30" s="805">
        <v>2</v>
      </c>
      <c r="B30" s="24" t="s">
        <v>511</v>
      </c>
      <c r="C30" s="27">
        <v>8</v>
      </c>
      <c r="D30" s="27">
        <v>14.2</v>
      </c>
      <c r="E30" s="27">
        <v>5.5</v>
      </c>
      <c r="F30" s="27">
        <v>5</v>
      </c>
      <c r="G30" s="27">
        <v>9.1999999999999993</v>
      </c>
      <c r="H30" s="27">
        <v>10.8</v>
      </c>
      <c r="I30" s="27">
        <v>7.8</v>
      </c>
      <c r="K30" s="428">
        <v>2</v>
      </c>
      <c r="L30" s="429" t="s">
        <v>553</v>
      </c>
      <c r="M30" s="430">
        <v>0.5</v>
      </c>
      <c r="N30" s="430" t="str">
        <f>VLOOKUP($K30,'ONS expenditure breakdown A1'!$K$17:$Q$757,7,FALSE)</f>
        <v xml:space="preserve">Basic </v>
      </c>
      <c r="O30" s="431" t="s">
        <v>511</v>
      </c>
      <c r="P30" s="431" t="s">
        <v>1777</v>
      </c>
      <c r="Q30" s="431" t="s">
        <v>1775</v>
      </c>
    </row>
    <row r="31" spans="1:18" ht="30" x14ac:dyDescent="0.25">
      <c r="A31" s="805">
        <v>3</v>
      </c>
      <c r="B31" s="25" t="s">
        <v>512</v>
      </c>
      <c r="C31" s="27">
        <v>9.1999999999999993</v>
      </c>
      <c r="D31" s="27">
        <v>15.9</v>
      </c>
      <c r="E31" s="27">
        <v>19.8</v>
      </c>
      <c r="F31" s="27">
        <v>15.3</v>
      </c>
      <c r="G31" s="27">
        <v>22.1</v>
      </c>
      <c r="H31" s="27">
        <v>29</v>
      </c>
      <c r="I31" s="27">
        <v>30</v>
      </c>
      <c r="K31" s="428">
        <v>3</v>
      </c>
      <c r="L31" s="429" t="s">
        <v>554</v>
      </c>
      <c r="M31" s="430">
        <f>VLOOKUP($K31,'ONS expenditure breakdown A1'!$K$17:$P$757,6,FALSE)</f>
        <v>0.5</v>
      </c>
      <c r="N31" s="430" t="str">
        <f>VLOOKUP($K31,'ONS expenditure breakdown A1'!$K$17:$Q$757,7,FALSE)</f>
        <v xml:space="preserve">Basic </v>
      </c>
      <c r="O31" s="431" t="s">
        <v>512</v>
      </c>
      <c r="P31" s="431" t="s">
        <v>555</v>
      </c>
      <c r="Q31" s="431" t="s">
        <v>1778</v>
      </c>
    </row>
    <row r="32" spans="1:18" ht="60.75" customHeight="1" x14ac:dyDescent="0.25">
      <c r="A32" s="805">
        <v>4</v>
      </c>
      <c r="B32" s="24" t="s">
        <v>556</v>
      </c>
      <c r="C32" s="27">
        <v>101.4</v>
      </c>
      <c r="D32" s="27">
        <v>122.1</v>
      </c>
      <c r="E32" s="27">
        <v>127.3</v>
      </c>
      <c r="F32" s="27">
        <v>151.80000000000001</v>
      </c>
      <c r="G32" s="27">
        <v>134.19999999999999</v>
      </c>
      <c r="H32" s="27">
        <v>131.80000000000001</v>
      </c>
      <c r="I32" s="27">
        <v>150.9</v>
      </c>
      <c r="K32" s="428">
        <v>4</v>
      </c>
      <c r="L32" s="429" t="s">
        <v>557</v>
      </c>
      <c r="M32" s="430">
        <v>0.5</v>
      </c>
      <c r="N32" s="430" t="str">
        <f>VLOOKUP($K32,'ONS expenditure breakdown A1'!$K$17:$Q$757,7,FALSE)</f>
        <v>Essential</v>
      </c>
      <c r="O32" s="431" t="s">
        <v>558</v>
      </c>
      <c r="P32" s="431" t="s">
        <v>559</v>
      </c>
      <c r="Q32" s="431" t="s">
        <v>130</v>
      </c>
    </row>
    <row r="33" spans="1:17" ht="30" x14ac:dyDescent="0.25">
      <c r="A33" s="805">
        <v>5</v>
      </c>
      <c r="B33" s="24" t="s">
        <v>514</v>
      </c>
      <c r="C33" s="27">
        <v>21.9</v>
      </c>
      <c r="D33" s="27">
        <v>53.3</v>
      </c>
      <c r="E33" s="27">
        <v>19.399999999999999</v>
      </c>
      <c r="F33" s="27">
        <v>31.8</v>
      </c>
      <c r="G33" s="27">
        <v>44</v>
      </c>
      <c r="H33" s="27">
        <v>33.299999999999997</v>
      </c>
      <c r="I33" s="27">
        <v>33</v>
      </c>
      <c r="K33" s="428">
        <v>5</v>
      </c>
      <c r="L33" s="429" t="s">
        <v>560</v>
      </c>
      <c r="M33" s="430">
        <v>0.5</v>
      </c>
      <c r="N33" s="430" t="str">
        <f>VLOOKUP($K33,'ONS expenditure breakdown A1'!$K$17:$Q$757,7,FALSE)</f>
        <v xml:space="preserve">Basic </v>
      </c>
      <c r="O33" s="431" t="s">
        <v>561</v>
      </c>
      <c r="P33" s="431" t="s">
        <v>562</v>
      </c>
      <c r="Q33" s="431" t="s">
        <v>1779</v>
      </c>
    </row>
    <row r="34" spans="1:17" ht="19.5" customHeight="1" x14ac:dyDescent="0.25">
      <c r="A34" s="805">
        <v>6</v>
      </c>
      <c r="B34" s="24" t="s">
        <v>515</v>
      </c>
      <c r="C34" s="27">
        <v>0</v>
      </c>
      <c r="D34" s="27">
        <v>0</v>
      </c>
      <c r="E34" s="27">
        <v>0</v>
      </c>
      <c r="F34" s="27">
        <v>0</v>
      </c>
      <c r="G34" s="27">
        <v>0</v>
      </c>
      <c r="H34" s="27">
        <v>0</v>
      </c>
      <c r="I34" s="27">
        <v>0</v>
      </c>
      <c r="K34" s="428">
        <v>6</v>
      </c>
      <c r="L34" s="429" t="s">
        <v>515</v>
      </c>
      <c r="M34" s="430">
        <v>0</v>
      </c>
      <c r="N34" s="430" t="str">
        <f>VLOOKUP($K34,'ONS expenditure breakdown A1'!$K$17:$Q$757,7,FALSE)</f>
        <v>Essential</v>
      </c>
      <c r="O34" s="431" t="s">
        <v>563</v>
      </c>
      <c r="P34" s="431" t="s">
        <v>564</v>
      </c>
      <c r="Q34" s="431" t="s">
        <v>1780</v>
      </c>
    </row>
    <row r="35" spans="1:17" ht="32.25" customHeight="1" x14ac:dyDescent="0.25">
      <c r="A35" s="805">
        <v>7</v>
      </c>
      <c r="B35" s="24" t="s">
        <v>516</v>
      </c>
      <c r="C35" s="27">
        <v>50</v>
      </c>
      <c r="D35" s="27">
        <v>115.9</v>
      </c>
      <c r="E35" s="27">
        <v>42.9</v>
      </c>
      <c r="F35" s="27">
        <v>38.9</v>
      </c>
      <c r="G35" s="27">
        <v>109.6</v>
      </c>
      <c r="H35" s="27">
        <v>100.9</v>
      </c>
      <c r="I35" s="27">
        <v>91</v>
      </c>
      <c r="K35" s="428">
        <v>7</v>
      </c>
      <c r="L35" s="429" t="s">
        <v>516</v>
      </c>
      <c r="M35" s="430">
        <v>0.65</v>
      </c>
      <c r="N35" s="430" t="str">
        <f>VLOOKUP($K35,'ONS expenditure breakdown A1'!$K$17:$Q$757,7,FALSE)</f>
        <v xml:space="preserve">Essential &amp; Basic </v>
      </c>
      <c r="O35" s="431" t="s">
        <v>565</v>
      </c>
      <c r="P35" s="431" t="s">
        <v>566</v>
      </c>
      <c r="Q35" s="431" t="s">
        <v>312</v>
      </c>
    </row>
    <row r="36" spans="1:17" x14ac:dyDescent="0.25">
      <c r="A36" s="805">
        <v>8</v>
      </c>
      <c r="B36" s="24" t="s">
        <v>517</v>
      </c>
      <c r="C36" s="27">
        <v>15</v>
      </c>
      <c r="D36" s="27">
        <v>23.5</v>
      </c>
      <c r="E36" s="27">
        <v>18.600000000000001</v>
      </c>
      <c r="F36" s="27">
        <v>20.3</v>
      </c>
      <c r="G36" s="27">
        <v>23.5</v>
      </c>
      <c r="H36" s="27">
        <v>26.2</v>
      </c>
      <c r="I36" s="27">
        <v>26.6</v>
      </c>
      <c r="K36" s="428">
        <v>8</v>
      </c>
      <c r="L36" s="429" t="s">
        <v>517</v>
      </c>
      <c r="M36" s="430">
        <v>1</v>
      </c>
      <c r="N36" s="430" t="str">
        <f>VLOOKUP($K36,'ONS expenditure breakdown A1'!$K$17:$Q$757,7,FALSE)</f>
        <v>Essential</v>
      </c>
      <c r="O36" s="431" t="s">
        <v>567</v>
      </c>
      <c r="P36" s="431" t="s">
        <v>568</v>
      </c>
      <c r="Q36" s="431" t="s">
        <v>133</v>
      </c>
    </row>
    <row r="37" spans="1:17" ht="45" customHeight="1" x14ac:dyDescent="0.25">
      <c r="A37" s="805">
        <v>9</v>
      </c>
      <c r="B37" s="24" t="s">
        <v>518</v>
      </c>
      <c r="C37" s="27">
        <v>34.200000000000003</v>
      </c>
      <c r="D37" s="27">
        <v>83.7</v>
      </c>
      <c r="E37" s="27">
        <v>34.1</v>
      </c>
      <c r="F37" s="27">
        <v>49</v>
      </c>
      <c r="G37" s="27">
        <v>78.3</v>
      </c>
      <c r="H37" s="27">
        <v>93.3</v>
      </c>
      <c r="I37" s="27">
        <v>88.2</v>
      </c>
      <c r="K37" s="428">
        <v>9</v>
      </c>
      <c r="L37" s="429" t="s">
        <v>569</v>
      </c>
      <c r="M37" s="430">
        <v>0.35</v>
      </c>
      <c r="N37" s="430" t="str">
        <f>VLOOKUP($K37,'ONS expenditure breakdown A1'!$K$17:$Q$757,7,FALSE)</f>
        <v xml:space="preserve">Basic </v>
      </c>
      <c r="O37" s="431" t="s">
        <v>570</v>
      </c>
      <c r="P37" s="431" t="s">
        <v>571</v>
      </c>
      <c r="Q37" s="431" t="s">
        <v>133</v>
      </c>
    </row>
    <row r="38" spans="1:17" ht="30" customHeight="1" x14ac:dyDescent="0.25">
      <c r="A38" s="805">
        <v>10</v>
      </c>
      <c r="B38" s="24" t="s">
        <v>519</v>
      </c>
      <c r="C38" s="807"/>
      <c r="D38" s="807"/>
      <c r="E38" s="807"/>
      <c r="F38" s="807"/>
      <c r="G38" s="27"/>
      <c r="H38" s="27"/>
      <c r="I38" s="27"/>
      <c r="K38" s="428">
        <v>10</v>
      </c>
      <c r="L38" s="429" t="s">
        <v>519</v>
      </c>
      <c r="M38" s="430">
        <v>0</v>
      </c>
      <c r="N38" s="430" t="str">
        <f>VLOOKUP($K38,'ONS expenditure breakdown A1'!$K$17:$Q$757,7,FALSE)</f>
        <v xml:space="preserve">Basic </v>
      </c>
      <c r="O38" s="431" t="s">
        <v>572</v>
      </c>
      <c r="P38" s="431" t="s">
        <v>573</v>
      </c>
      <c r="Q38" s="431" t="s">
        <v>1780</v>
      </c>
    </row>
    <row r="39" spans="1:17" ht="46.5" customHeight="1" x14ac:dyDescent="0.25">
      <c r="A39" s="805">
        <v>11</v>
      </c>
      <c r="B39" s="24" t="s">
        <v>521</v>
      </c>
      <c r="C39" s="27">
        <v>27</v>
      </c>
      <c r="D39" s="27">
        <v>58.9</v>
      </c>
      <c r="E39" s="27">
        <v>25.9</v>
      </c>
      <c r="F39" s="27">
        <v>21.9</v>
      </c>
      <c r="G39" s="27">
        <v>52.2</v>
      </c>
      <c r="H39" s="27">
        <v>46</v>
      </c>
      <c r="I39" s="27">
        <v>40.4</v>
      </c>
      <c r="K39" s="428">
        <v>11</v>
      </c>
      <c r="L39" s="429" t="s">
        <v>574</v>
      </c>
      <c r="M39" s="430">
        <v>0.35</v>
      </c>
      <c r="N39" s="430" t="str">
        <f>VLOOKUP($K39,'ONS expenditure breakdown A1'!$K$17:$Q$757,7,FALSE)</f>
        <v xml:space="preserve">Basic </v>
      </c>
      <c r="O39" s="431" t="s">
        <v>575</v>
      </c>
      <c r="P39" s="431" t="s">
        <v>576</v>
      </c>
      <c r="Q39" s="431" t="s">
        <v>1781</v>
      </c>
    </row>
    <row r="40" spans="1:17" ht="47.25" customHeight="1" x14ac:dyDescent="0.25">
      <c r="A40" s="805">
        <v>12</v>
      </c>
      <c r="B40" s="24" t="s">
        <v>522</v>
      </c>
      <c r="C40" s="27">
        <v>26.7</v>
      </c>
      <c r="D40" s="27">
        <v>48.3</v>
      </c>
      <c r="E40" s="27">
        <v>19.5</v>
      </c>
      <c r="F40" s="27">
        <v>28.5</v>
      </c>
      <c r="G40" s="27">
        <v>60.8</v>
      </c>
      <c r="H40" s="27">
        <v>62.5</v>
      </c>
      <c r="I40" s="27">
        <v>53.7</v>
      </c>
      <c r="K40" s="428">
        <v>12</v>
      </c>
      <c r="L40" s="429" t="s">
        <v>577</v>
      </c>
      <c r="M40" s="430">
        <v>0.5</v>
      </c>
      <c r="N40" s="430" t="str">
        <f>VLOOKUP($K40,'ONS expenditure breakdown A1'!$K$17:$Q$757,7,FALSE)</f>
        <v xml:space="preserve">Buildings Ins- Essential, Toilerires and Soap Essential, remainder - Basic </v>
      </c>
      <c r="O40" s="431" t="s">
        <v>578</v>
      </c>
      <c r="P40" s="431" t="s">
        <v>579</v>
      </c>
      <c r="Q40" s="431" t="s">
        <v>1776</v>
      </c>
    </row>
    <row r="41" spans="1:17" ht="29.25" customHeight="1" x14ac:dyDescent="0.25">
      <c r="A41" s="26"/>
      <c r="B41" s="26"/>
      <c r="C41" s="735"/>
      <c r="D41" s="735"/>
      <c r="E41" s="735"/>
      <c r="F41" s="735"/>
      <c r="G41" s="735"/>
      <c r="H41" s="735"/>
      <c r="I41" s="735"/>
      <c r="K41" s="428">
        <v>13</v>
      </c>
      <c r="L41" s="429" t="s">
        <v>580</v>
      </c>
      <c r="M41" s="430">
        <f>VLOOKUP($K41,'ONS expenditure breakdown A1'!$K$17:$P$757,6,FALSE)</f>
        <v>0</v>
      </c>
      <c r="N41" s="430" t="str">
        <f>VLOOKUP($K41,'ONS expenditure breakdown A1'!$K$17:$Q$757,7,FALSE)</f>
        <v>Excluded</v>
      </c>
      <c r="O41" s="431" t="s">
        <v>581</v>
      </c>
      <c r="P41" s="431" t="s">
        <v>582</v>
      </c>
      <c r="Q41" s="431" t="s">
        <v>583</v>
      </c>
    </row>
    <row r="42" spans="1:17" ht="30" x14ac:dyDescent="0.25">
      <c r="A42" s="806" t="s">
        <v>584</v>
      </c>
      <c r="B42" s="24" t="s">
        <v>585</v>
      </c>
      <c r="C42" s="27">
        <v>343.1</v>
      </c>
      <c r="D42" s="27">
        <v>617.9</v>
      </c>
      <c r="E42" s="27">
        <v>367.9</v>
      </c>
      <c r="F42" s="27">
        <v>432.9</v>
      </c>
      <c r="G42" s="27">
        <v>627.5</v>
      </c>
      <c r="H42" s="27">
        <v>643.29999999999995</v>
      </c>
      <c r="I42" s="27">
        <v>644.70000000000005</v>
      </c>
      <c r="K42" s="428">
        <v>14</v>
      </c>
      <c r="L42" s="429" t="s">
        <v>586</v>
      </c>
      <c r="M42" s="430" t="s">
        <v>587</v>
      </c>
      <c r="N42" s="430" t="s">
        <v>587</v>
      </c>
      <c r="O42" s="431" t="s">
        <v>588</v>
      </c>
      <c r="P42" s="431" t="s">
        <v>589</v>
      </c>
      <c r="Q42" s="431" t="s">
        <v>583</v>
      </c>
    </row>
    <row r="43" spans="1:17" x14ac:dyDescent="0.25">
      <c r="A43" s="26"/>
      <c r="B43" s="26"/>
      <c r="C43" s="735"/>
      <c r="D43" s="735"/>
      <c r="E43" s="735"/>
      <c r="F43" s="735"/>
      <c r="G43" s="735"/>
      <c r="H43" s="735"/>
      <c r="I43" s="735"/>
    </row>
    <row r="44" spans="1:17" x14ac:dyDescent="0.25">
      <c r="A44" s="805">
        <v>13</v>
      </c>
      <c r="B44" s="24" t="s">
        <v>580</v>
      </c>
      <c r="C44" s="27">
        <v>78.400000000000006</v>
      </c>
      <c r="D44" s="27">
        <v>110</v>
      </c>
      <c r="E44" s="27">
        <v>36</v>
      </c>
      <c r="F44" s="27">
        <v>44.5</v>
      </c>
      <c r="G44" s="27">
        <v>120.9</v>
      </c>
      <c r="H44" s="27">
        <v>116.9</v>
      </c>
      <c r="I44" s="27">
        <v>101.4</v>
      </c>
    </row>
    <row r="45" spans="1:17" x14ac:dyDescent="0.25">
      <c r="A45" s="29"/>
      <c r="B45" s="29"/>
      <c r="C45" s="30"/>
      <c r="D45" s="30"/>
      <c r="E45" s="30"/>
      <c r="F45" s="30"/>
      <c r="G45" s="30"/>
      <c r="H45" s="30"/>
      <c r="I45" s="30"/>
    </row>
    <row r="46" spans="1:17" x14ac:dyDescent="0.25">
      <c r="A46" s="606" t="s">
        <v>526</v>
      </c>
      <c r="B46" s="31"/>
      <c r="C46" s="736">
        <v>406.8</v>
      </c>
      <c r="D46" s="736">
        <v>727.9</v>
      </c>
      <c r="E46" s="736">
        <v>403.9</v>
      </c>
      <c r="F46" s="736">
        <v>477.4</v>
      </c>
      <c r="G46" s="736">
        <v>748.4</v>
      </c>
      <c r="H46" s="736">
        <v>760.2</v>
      </c>
      <c r="I46" s="736">
        <v>746</v>
      </c>
    </row>
    <row r="48" spans="1:17" x14ac:dyDescent="0.25">
      <c r="B48" t="s">
        <v>590</v>
      </c>
      <c r="C48" s="507">
        <f>SUM(C29:C37)-A1048550-A1048554</f>
        <v>278.8</v>
      </c>
      <c r="D48" s="507">
        <f t="shared" ref="D48:I48" si="7">SUM(D29:D37)-D30-D34</f>
        <v>484.1</v>
      </c>
      <c r="E48" s="507">
        <f t="shared" si="7"/>
        <v>309.60000000000002</v>
      </c>
      <c r="F48" s="507">
        <f t="shared" si="7"/>
        <v>372.2</v>
      </c>
      <c r="G48" s="507">
        <f t="shared" si="7"/>
        <v>492.6</v>
      </c>
      <c r="H48" s="507">
        <f t="shared" si="7"/>
        <v>505.90000000000003</v>
      </c>
      <c r="I48" s="507">
        <f t="shared" si="7"/>
        <v>526.10000000000014</v>
      </c>
    </row>
    <row r="49" spans="2:9" x14ac:dyDescent="0.25">
      <c r="B49" t="s">
        <v>507</v>
      </c>
      <c r="C49" s="715">
        <f t="shared" ref="C49:I49" si="8">+C48*52/12</f>
        <v>1208.1333333333334</v>
      </c>
      <c r="D49" s="715">
        <f t="shared" si="8"/>
        <v>2097.7666666666669</v>
      </c>
      <c r="E49" s="715">
        <f t="shared" si="8"/>
        <v>1341.6000000000001</v>
      </c>
      <c r="F49" s="715">
        <f t="shared" si="8"/>
        <v>1612.8666666666666</v>
      </c>
      <c r="G49" s="715">
        <f t="shared" si="8"/>
        <v>2134.6</v>
      </c>
      <c r="H49" s="715">
        <f t="shared" si="8"/>
        <v>2192.2333333333336</v>
      </c>
      <c r="I49" s="715">
        <f t="shared" si="8"/>
        <v>2279.7666666666673</v>
      </c>
    </row>
    <row r="52" spans="2:9" x14ac:dyDescent="0.25">
      <c r="B52" t="s">
        <v>507</v>
      </c>
    </row>
    <row r="53" spans="2:9" x14ac:dyDescent="0.25">
      <c r="B53" s="716" t="s">
        <v>510</v>
      </c>
      <c r="C53" s="717">
        <f>+C29*52/12</f>
        <v>169.43333333333334</v>
      </c>
      <c r="D53" s="717">
        <f t="shared" ref="D53:I53" si="9">+D29*52/12</f>
        <v>302.03333333333336</v>
      </c>
      <c r="E53" s="717">
        <f t="shared" si="9"/>
        <v>205.83333333333334</v>
      </c>
      <c r="F53" s="717">
        <f t="shared" si="9"/>
        <v>282.09999999999997</v>
      </c>
      <c r="G53" s="717">
        <f t="shared" si="9"/>
        <v>350.56666666666666</v>
      </c>
      <c r="H53" s="717">
        <f t="shared" si="9"/>
        <v>396.06666666666666</v>
      </c>
      <c r="I53" s="717">
        <f t="shared" si="9"/>
        <v>461.06666666666666</v>
      </c>
    </row>
    <row r="54" spans="2:9" x14ac:dyDescent="0.25">
      <c r="B54" s="716" t="s">
        <v>511</v>
      </c>
      <c r="C54" s="717">
        <f t="shared" ref="C54:I64" si="10">+C30*52/12</f>
        <v>34.666666666666664</v>
      </c>
      <c r="D54" s="717">
        <f t="shared" si="10"/>
        <v>61.533333333333331</v>
      </c>
      <c r="E54" s="717">
        <f t="shared" si="10"/>
        <v>23.833333333333332</v>
      </c>
      <c r="F54" s="717">
        <f t="shared" si="10"/>
        <v>21.666666666666668</v>
      </c>
      <c r="G54" s="717">
        <f t="shared" si="10"/>
        <v>39.866666666666667</v>
      </c>
      <c r="H54" s="717">
        <f t="shared" si="10"/>
        <v>46.800000000000004</v>
      </c>
      <c r="I54" s="717">
        <f t="shared" si="10"/>
        <v>33.799999999999997</v>
      </c>
    </row>
    <row r="55" spans="2:9" x14ac:dyDescent="0.25">
      <c r="B55" s="718" t="s">
        <v>512</v>
      </c>
      <c r="C55" s="717">
        <f t="shared" si="10"/>
        <v>39.866666666666667</v>
      </c>
      <c r="D55" s="717">
        <f t="shared" si="10"/>
        <v>68.900000000000006</v>
      </c>
      <c r="E55" s="717">
        <f t="shared" si="10"/>
        <v>85.800000000000011</v>
      </c>
      <c r="F55" s="717">
        <f t="shared" si="10"/>
        <v>66.3</v>
      </c>
      <c r="G55" s="717">
        <f t="shared" si="10"/>
        <v>95.766666666666666</v>
      </c>
      <c r="H55" s="717">
        <f t="shared" si="10"/>
        <v>125.66666666666667</v>
      </c>
      <c r="I55" s="717">
        <f t="shared" si="10"/>
        <v>130</v>
      </c>
    </row>
    <row r="56" spans="2:9" x14ac:dyDescent="0.25">
      <c r="B56" s="716" t="s">
        <v>513</v>
      </c>
      <c r="C56" s="717">
        <f t="shared" si="10"/>
        <v>439.40000000000003</v>
      </c>
      <c r="D56" s="717">
        <f t="shared" si="10"/>
        <v>529.1</v>
      </c>
      <c r="E56" s="717">
        <f t="shared" si="10"/>
        <v>551.63333333333333</v>
      </c>
      <c r="F56" s="717">
        <f t="shared" si="10"/>
        <v>657.80000000000007</v>
      </c>
      <c r="G56" s="717">
        <f t="shared" si="10"/>
        <v>581.5333333333333</v>
      </c>
      <c r="H56" s="717">
        <f t="shared" si="10"/>
        <v>571.13333333333333</v>
      </c>
      <c r="I56" s="717">
        <f t="shared" si="10"/>
        <v>653.9</v>
      </c>
    </row>
    <row r="57" spans="2:9" x14ac:dyDescent="0.25">
      <c r="B57" s="716" t="s">
        <v>514</v>
      </c>
      <c r="C57" s="717">
        <f t="shared" si="10"/>
        <v>94.899999999999991</v>
      </c>
      <c r="D57" s="717">
        <f t="shared" si="10"/>
        <v>230.96666666666667</v>
      </c>
      <c r="E57" s="717">
        <f t="shared" si="10"/>
        <v>84.066666666666663</v>
      </c>
      <c r="F57" s="717">
        <f t="shared" si="10"/>
        <v>137.80000000000001</v>
      </c>
      <c r="G57" s="717">
        <f t="shared" si="10"/>
        <v>190.66666666666666</v>
      </c>
      <c r="H57" s="717">
        <f t="shared" si="10"/>
        <v>144.29999999999998</v>
      </c>
      <c r="I57" s="717">
        <f t="shared" si="10"/>
        <v>143</v>
      </c>
    </row>
    <row r="58" spans="2:9" x14ac:dyDescent="0.25">
      <c r="B58" s="716" t="s">
        <v>515</v>
      </c>
      <c r="C58" s="717">
        <f t="shared" si="10"/>
        <v>0</v>
      </c>
      <c r="D58" s="717">
        <f t="shared" si="10"/>
        <v>0</v>
      </c>
      <c r="E58" s="717">
        <f t="shared" si="10"/>
        <v>0</v>
      </c>
      <c r="F58" s="717">
        <f t="shared" si="10"/>
        <v>0</v>
      </c>
      <c r="G58" s="717">
        <f t="shared" si="10"/>
        <v>0</v>
      </c>
      <c r="H58" s="717">
        <f t="shared" si="10"/>
        <v>0</v>
      </c>
      <c r="I58" s="717">
        <f t="shared" si="10"/>
        <v>0</v>
      </c>
    </row>
    <row r="59" spans="2:9" x14ac:dyDescent="0.25">
      <c r="B59" s="716" t="s">
        <v>516</v>
      </c>
      <c r="C59" s="717">
        <f t="shared" si="10"/>
        <v>216.66666666666666</v>
      </c>
      <c r="D59" s="717">
        <f t="shared" si="10"/>
        <v>502.23333333333335</v>
      </c>
      <c r="E59" s="717">
        <f t="shared" si="10"/>
        <v>185.89999999999998</v>
      </c>
      <c r="F59" s="717">
        <f t="shared" si="10"/>
        <v>168.56666666666666</v>
      </c>
      <c r="G59" s="717">
        <f t="shared" si="10"/>
        <v>474.93333333333334</v>
      </c>
      <c r="H59" s="717">
        <f t="shared" si="10"/>
        <v>437.23333333333335</v>
      </c>
      <c r="I59" s="717">
        <f t="shared" si="10"/>
        <v>394.33333333333331</v>
      </c>
    </row>
    <row r="60" spans="2:9" x14ac:dyDescent="0.25">
      <c r="B60" s="716" t="s">
        <v>517</v>
      </c>
      <c r="C60" s="717">
        <f t="shared" si="10"/>
        <v>65</v>
      </c>
      <c r="D60" s="717">
        <f t="shared" si="10"/>
        <v>101.83333333333333</v>
      </c>
      <c r="E60" s="717">
        <f t="shared" si="10"/>
        <v>80.600000000000009</v>
      </c>
      <c r="F60" s="717">
        <f t="shared" si="10"/>
        <v>87.966666666666683</v>
      </c>
      <c r="G60" s="717">
        <f t="shared" si="10"/>
        <v>101.83333333333333</v>
      </c>
      <c r="H60" s="717">
        <f t="shared" si="10"/>
        <v>113.53333333333332</v>
      </c>
      <c r="I60" s="717">
        <f t="shared" si="10"/>
        <v>115.26666666666667</v>
      </c>
    </row>
    <row r="61" spans="2:9" x14ac:dyDescent="0.25">
      <c r="B61" s="716" t="s">
        <v>518</v>
      </c>
      <c r="C61" s="717">
        <f t="shared" si="10"/>
        <v>148.20000000000002</v>
      </c>
      <c r="D61" s="717">
        <f t="shared" si="10"/>
        <v>362.70000000000005</v>
      </c>
      <c r="E61" s="717">
        <f t="shared" si="10"/>
        <v>147.76666666666668</v>
      </c>
      <c r="F61" s="717">
        <f t="shared" si="10"/>
        <v>212.33333333333334</v>
      </c>
      <c r="G61" s="717">
        <f t="shared" si="10"/>
        <v>339.3</v>
      </c>
      <c r="H61" s="717">
        <f t="shared" si="10"/>
        <v>404.29999999999995</v>
      </c>
      <c r="I61" s="717">
        <f t="shared" si="10"/>
        <v>382.20000000000005</v>
      </c>
    </row>
    <row r="62" spans="2:9" x14ac:dyDescent="0.25">
      <c r="B62" s="716" t="s">
        <v>519</v>
      </c>
      <c r="C62" s="717">
        <f t="shared" si="10"/>
        <v>0</v>
      </c>
      <c r="D62" s="717">
        <f t="shared" si="10"/>
        <v>0</v>
      </c>
      <c r="E62" s="717">
        <f t="shared" si="10"/>
        <v>0</v>
      </c>
      <c r="F62" s="717">
        <f t="shared" si="10"/>
        <v>0</v>
      </c>
      <c r="G62" s="717">
        <f t="shared" si="10"/>
        <v>0</v>
      </c>
      <c r="H62" s="717">
        <f t="shared" si="10"/>
        <v>0</v>
      </c>
      <c r="I62" s="717">
        <f t="shared" si="10"/>
        <v>0</v>
      </c>
    </row>
    <row r="63" spans="2:9" x14ac:dyDescent="0.25">
      <c r="B63" s="716" t="s">
        <v>521</v>
      </c>
      <c r="C63" s="717">
        <f t="shared" si="10"/>
        <v>117</v>
      </c>
      <c r="D63" s="717">
        <f t="shared" si="10"/>
        <v>255.23333333333332</v>
      </c>
      <c r="E63" s="717">
        <f t="shared" si="10"/>
        <v>112.23333333333333</v>
      </c>
      <c r="F63" s="717">
        <f t="shared" si="10"/>
        <v>94.899999999999991</v>
      </c>
      <c r="G63" s="717">
        <f t="shared" si="10"/>
        <v>226.20000000000002</v>
      </c>
      <c r="H63" s="717">
        <f t="shared" si="10"/>
        <v>199.33333333333334</v>
      </c>
      <c r="I63" s="717">
        <f t="shared" si="10"/>
        <v>175.06666666666663</v>
      </c>
    </row>
    <row r="64" spans="2:9" x14ac:dyDescent="0.25">
      <c r="B64" s="716" t="s">
        <v>522</v>
      </c>
      <c r="C64" s="717">
        <f t="shared" si="10"/>
        <v>115.69999999999999</v>
      </c>
      <c r="D64" s="717">
        <f t="shared" si="10"/>
        <v>209.29999999999998</v>
      </c>
      <c r="E64" s="717">
        <f t="shared" si="10"/>
        <v>84.5</v>
      </c>
      <c r="F64" s="717">
        <f t="shared" si="10"/>
        <v>123.5</v>
      </c>
      <c r="G64" s="717">
        <f t="shared" si="10"/>
        <v>263.46666666666664</v>
      </c>
      <c r="H64" s="717">
        <f t="shared" si="10"/>
        <v>270.83333333333331</v>
      </c>
      <c r="I64" s="717">
        <f t="shared" si="10"/>
        <v>232.70000000000002</v>
      </c>
    </row>
    <row r="66" spans="2:9" x14ac:dyDescent="0.25">
      <c r="C66" s="722"/>
      <c r="D66" s="722"/>
      <c r="E66" s="721"/>
      <c r="F66" s="720"/>
      <c r="G66" s="721"/>
      <c r="H66" s="721"/>
      <c r="I66" s="720"/>
    </row>
    <row r="68" spans="2:9" x14ac:dyDescent="0.25">
      <c r="B68" s="716"/>
      <c r="C68" s="723"/>
      <c r="D68" s="723"/>
      <c r="E68" s="723"/>
      <c r="F68" s="723"/>
      <c r="G68" s="723"/>
      <c r="H68" s="723"/>
      <c r="I68" s="723"/>
    </row>
    <row r="69" spans="2:9" x14ac:dyDescent="0.25">
      <c r="B69" s="716"/>
      <c r="C69" s="723"/>
      <c r="D69" s="723"/>
      <c r="E69" s="723"/>
      <c r="F69" s="723"/>
      <c r="G69" s="723"/>
      <c r="H69" s="723"/>
      <c r="I69" s="723"/>
    </row>
    <row r="70" spans="2:9" x14ac:dyDescent="0.25">
      <c r="B70" s="718"/>
      <c r="C70" s="723"/>
      <c r="D70" s="723"/>
      <c r="E70" s="723"/>
      <c r="F70" s="723"/>
      <c r="G70" s="723"/>
      <c r="H70" s="723"/>
      <c r="I70" s="723"/>
    </row>
    <row r="71" spans="2:9" x14ac:dyDescent="0.25">
      <c r="B71" s="716"/>
      <c r="C71" s="723"/>
      <c r="D71" s="723"/>
      <c r="E71" s="723"/>
      <c r="F71" s="723"/>
      <c r="G71" s="723"/>
      <c r="H71" s="723"/>
      <c r="I71" s="723"/>
    </row>
    <row r="72" spans="2:9" x14ac:dyDescent="0.25">
      <c r="B72" s="716"/>
      <c r="C72" s="723"/>
      <c r="D72" s="723"/>
      <c r="E72" s="723"/>
      <c r="F72" s="723"/>
      <c r="G72" s="723"/>
      <c r="H72" s="723"/>
      <c r="I72" s="723"/>
    </row>
    <row r="73" spans="2:9" x14ac:dyDescent="0.25">
      <c r="B73" s="716"/>
      <c r="C73" s="723"/>
      <c r="D73" s="723"/>
      <c r="E73" s="723"/>
      <c r="F73" s="723"/>
      <c r="G73" s="723"/>
      <c r="H73" s="723"/>
      <c r="I73" s="723"/>
    </row>
    <row r="74" spans="2:9" x14ac:dyDescent="0.25">
      <c r="B74" s="716"/>
      <c r="C74" s="723"/>
      <c r="D74" s="723"/>
      <c r="E74" s="723"/>
      <c r="F74" s="723"/>
      <c r="G74" s="723"/>
      <c r="H74" s="723"/>
      <c r="I74" s="723"/>
    </row>
    <row r="75" spans="2:9" x14ac:dyDescent="0.25">
      <c r="B75" s="716"/>
      <c r="C75" s="723"/>
      <c r="D75" s="723"/>
      <c r="E75" s="723"/>
      <c r="F75" s="723"/>
      <c r="G75" s="723"/>
      <c r="H75" s="723"/>
      <c r="I75" s="723"/>
    </row>
    <row r="76" spans="2:9" x14ac:dyDescent="0.25">
      <c r="B76" s="716"/>
      <c r="C76" s="723"/>
      <c r="D76" s="723"/>
      <c r="E76" s="723"/>
      <c r="F76" s="723"/>
      <c r="G76" s="723"/>
      <c r="H76" s="723"/>
      <c r="I76" s="723"/>
    </row>
    <row r="77" spans="2:9" x14ac:dyDescent="0.25">
      <c r="B77" s="716"/>
      <c r="C77" s="724"/>
      <c r="D77" s="723"/>
      <c r="E77" s="724"/>
      <c r="F77" s="724"/>
      <c r="G77" s="723"/>
      <c r="H77" s="723"/>
      <c r="I77" s="723"/>
    </row>
    <row r="78" spans="2:9" x14ac:dyDescent="0.25">
      <c r="B78" s="716"/>
      <c r="C78" s="723"/>
      <c r="D78" s="723"/>
      <c r="E78" s="723"/>
      <c r="F78" s="723"/>
      <c r="G78" s="723"/>
      <c r="H78" s="723"/>
      <c r="I78" s="723"/>
    </row>
    <row r="79" spans="2:9" x14ac:dyDescent="0.25">
      <c r="B79" s="716"/>
      <c r="C79" s="723"/>
      <c r="D79" s="723"/>
      <c r="E79" s="723"/>
      <c r="F79" s="723"/>
      <c r="G79" s="723"/>
      <c r="H79" s="723"/>
      <c r="I79" s="723"/>
    </row>
    <row r="80" spans="2:9" x14ac:dyDescent="0.25">
      <c r="B80" s="725"/>
      <c r="C80" s="726"/>
      <c r="D80" s="726"/>
      <c r="E80" s="726"/>
      <c r="F80" s="726"/>
      <c r="G80" s="726"/>
      <c r="H80" s="726"/>
      <c r="I80" s="726"/>
    </row>
    <row r="81" spans="2:9" x14ac:dyDescent="0.25">
      <c r="B81" s="716"/>
      <c r="C81" s="727"/>
      <c r="D81" s="727"/>
      <c r="E81" s="727"/>
      <c r="F81" s="727"/>
      <c r="G81" s="727"/>
      <c r="H81" s="727"/>
      <c r="I81" s="727"/>
    </row>
    <row r="82" spans="2:9" x14ac:dyDescent="0.25">
      <c r="B82" s="728"/>
      <c r="C82" s="726"/>
      <c r="D82" s="726"/>
      <c r="E82" s="726"/>
      <c r="F82" s="726"/>
      <c r="G82" s="726"/>
      <c r="H82" s="726"/>
      <c r="I82" s="726"/>
    </row>
    <row r="83" spans="2:9" x14ac:dyDescent="0.25">
      <c r="B83" s="716"/>
      <c r="C83" s="727"/>
      <c r="D83" s="727"/>
      <c r="E83" s="727"/>
      <c r="F83" s="727"/>
      <c r="G83" s="727"/>
      <c r="H83" s="727"/>
      <c r="I83" s="727"/>
    </row>
    <row r="84" spans="2:9" x14ac:dyDescent="0.25">
      <c r="B84" s="729"/>
      <c r="C84" s="730"/>
      <c r="D84" s="730"/>
      <c r="E84" s="731"/>
      <c r="F84" s="731"/>
      <c r="G84" s="731"/>
      <c r="H84" s="731"/>
      <c r="I84" s="731"/>
    </row>
    <row r="85" spans="2:9" x14ac:dyDescent="0.25">
      <c r="B85" s="732"/>
      <c r="C85" s="733"/>
      <c r="D85" s="733"/>
      <c r="E85" s="733"/>
      <c r="F85" s="733"/>
      <c r="G85" s="733"/>
      <c r="H85" s="733"/>
      <c r="I85" s="733"/>
    </row>
    <row r="87" spans="2:9" x14ac:dyDescent="0.25">
      <c r="C87" s="507"/>
      <c r="D87" s="507"/>
      <c r="E87" s="507"/>
      <c r="F87" s="507"/>
      <c r="G87" s="507"/>
      <c r="H87" s="507"/>
      <c r="I87" s="507"/>
    </row>
    <row r="88" spans="2:9" x14ac:dyDescent="0.25">
      <c r="C88" s="715"/>
      <c r="D88" s="715"/>
      <c r="E88" s="715"/>
      <c r="F88" s="715"/>
      <c r="G88" s="715"/>
      <c r="H88" s="715"/>
      <c r="I88" s="715"/>
    </row>
    <row r="92" spans="2:9" x14ac:dyDescent="0.25">
      <c r="B92" s="716"/>
      <c r="C92" s="717"/>
      <c r="D92" s="717"/>
      <c r="E92" s="717"/>
      <c r="F92" s="717"/>
      <c r="G92" s="717"/>
      <c r="H92" s="717"/>
      <c r="I92" s="717"/>
    </row>
    <row r="93" spans="2:9" x14ac:dyDescent="0.25">
      <c r="B93" s="718"/>
      <c r="C93" s="717"/>
      <c r="D93" s="717"/>
      <c r="E93" s="717"/>
      <c r="F93" s="717"/>
      <c r="G93" s="717"/>
      <c r="H93" s="717"/>
      <c r="I93" s="717"/>
    </row>
    <row r="94" spans="2:9" x14ac:dyDescent="0.25">
      <c r="B94" s="716"/>
      <c r="C94" s="717"/>
      <c r="D94" s="717"/>
      <c r="E94" s="717"/>
      <c r="F94" s="717"/>
      <c r="G94" s="717"/>
      <c r="H94" s="717"/>
      <c r="I94" s="717"/>
    </row>
    <row r="95" spans="2:9" x14ac:dyDescent="0.25">
      <c r="B95" s="716"/>
      <c r="C95" s="717"/>
      <c r="D95" s="717"/>
      <c r="E95" s="717"/>
      <c r="F95" s="717"/>
      <c r="G95" s="717"/>
      <c r="H95" s="717"/>
      <c r="I95" s="717"/>
    </row>
    <row r="96" spans="2:9" x14ac:dyDescent="0.25">
      <c r="B96" s="716"/>
      <c r="C96" s="717"/>
      <c r="D96" s="717"/>
      <c r="E96" s="717"/>
      <c r="F96" s="717"/>
      <c r="G96" s="717"/>
      <c r="H96" s="717"/>
      <c r="I96" s="717"/>
    </row>
    <row r="97" spans="2:9" x14ac:dyDescent="0.25">
      <c r="B97" s="716"/>
      <c r="C97" s="717"/>
      <c r="D97" s="717"/>
      <c r="E97" s="717"/>
      <c r="F97" s="717"/>
      <c r="G97" s="717"/>
      <c r="H97" s="717"/>
      <c r="I97" s="717"/>
    </row>
    <row r="99" spans="2:9" x14ac:dyDescent="0.25">
      <c r="C99" s="7"/>
      <c r="D99" s="7"/>
      <c r="E99" s="7"/>
      <c r="F99" s="7"/>
      <c r="G99" s="7"/>
      <c r="H99" s="7"/>
      <c r="I99" s="7"/>
    </row>
    <row r="101" spans="2:9" x14ac:dyDescent="0.25">
      <c r="C101" s="717"/>
      <c r="D101" s="717"/>
      <c r="E101" s="717"/>
      <c r="F101" s="717"/>
      <c r="G101" s="717"/>
      <c r="H101" s="717"/>
      <c r="I101" s="717"/>
    </row>
    <row r="103" spans="2:9" x14ac:dyDescent="0.25">
      <c r="C103" s="719"/>
      <c r="D103" s="719"/>
      <c r="E103" s="719"/>
      <c r="F103" s="719"/>
      <c r="G103" s="719"/>
      <c r="H103" s="719"/>
      <c r="I103" s="719"/>
    </row>
  </sheetData>
  <sheetProtection algorithmName="SHA-512" hashValue="n/HXWyhDxfxwiQ5XgAjfJP9pjTgoqnoB7g23cpY3JowgY+LvF2xP8+01uKbpMOitNiFqooqqTxOg83JXjoadQg==" saltValue="ShSfJo5Kyc0htXUH4b2p7Q==" spinCount="100000" sheet="1" selectLockedCells="1" selectUnlockedCells="1"/>
  <mergeCells count="3">
    <mergeCell ref="K27:P27"/>
    <mergeCell ref="K28:L28"/>
    <mergeCell ref="L3:O20"/>
  </mergeCells>
  <hyperlinks>
    <hyperlink ref="L23" r:id="rId1" xr:uid="{ECA15928-2FD0-4FE9-89C7-7E26E5402E7E}"/>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915C3-14AA-45A5-8D46-8F476E8C5158}">
  <dimension ref="A1:G15"/>
  <sheetViews>
    <sheetView workbookViewId="0">
      <selection activeCell="E13" sqref="E13"/>
    </sheetView>
  </sheetViews>
  <sheetFormatPr defaultRowHeight="15" x14ac:dyDescent="0.25"/>
  <cols>
    <col min="1" max="1" width="36" customWidth="1"/>
    <col min="2" max="2" width="20" bestFit="1" customWidth="1"/>
    <col min="3" max="3" width="24.7109375" bestFit="1" customWidth="1"/>
    <col min="4" max="4" width="46.42578125" customWidth="1"/>
    <col min="5" max="5" width="23.85546875" customWidth="1"/>
    <col min="6" max="6" width="27.140625" customWidth="1"/>
    <col min="7" max="7" width="27" customWidth="1"/>
  </cols>
  <sheetData>
    <row r="1" spans="1:7" ht="30" customHeight="1" x14ac:dyDescent="0.25">
      <c r="A1" s="1481" t="s">
        <v>121</v>
      </c>
      <c r="B1" s="1482" t="s">
        <v>1786</v>
      </c>
      <c r="C1" s="1482" t="s">
        <v>1784</v>
      </c>
      <c r="D1" s="1482" t="s">
        <v>277</v>
      </c>
      <c r="E1" s="1483" t="s">
        <v>1785</v>
      </c>
      <c r="F1" s="1484" t="s">
        <v>1787</v>
      </c>
      <c r="G1" s="1483" t="s">
        <v>277</v>
      </c>
    </row>
    <row r="2" spans="1:7" x14ac:dyDescent="0.25">
      <c r="A2" s="1485" t="s">
        <v>551</v>
      </c>
      <c r="B2" s="1486">
        <v>1</v>
      </c>
      <c r="C2" s="1486" t="s">
        <v>670</v>
      </c>
      <c r="D2" s="1486" t="s">
        <v>1804</v>
      </c>
      <c r="E2" s="1487" t="s">
        <v>1775</v>
      </c>
      <c r="F2" s="1487">
        <v>1</v>
      </c>
      <c r="G2" s="1487"/>
    </row>
    <row r="3" spans="1:7" ht="26.25" x14ac:dyDescent="0.25">
      <c r="A3" s="1485" t="s">
        <v>553</v>
      </c>
      <c r="B3" s="1486">
        <v>0.5</v>
      </c>
      <c r="C3" s="1486" t="s">
        <v>975</v>
      </c>
      <c r="D3" s="1488" t="s">
        <v>1796</v>
      </c>
      <c r="E3" s="1487" t="s">
        <v>1775</v>
      </c>
      <c r="F3" s="1487">
        <v>1</v>
      </c>
      <c r="G3" s="1487"/>
    </row>
    <row r="4" spans="1:7" ht="25.5" x14ac:dyDescent="0.25">
      <c r="A4" s="1485" t="s">
        <v>554</v>
      </c>
      <c r="B4" s="1486">
        <v>0.5</v>
      </c>
      <c r="C4" s="1486" t="s">
        <v>975</v>
      </c>
      <c r="D4" s="1488" t="s">
        <v>1796</v>
      </c>
      <c r="E4" s="1487" t="s">
        <v>1788</v>
      </c>
      <c r="F4" s="1487">
        <v>1</v>
      </c>
      <c r="G4" s="1487"/>
    </row>
    <row r="5" spans="1:7" x14ac:dyDescent="0.25">
      <c r="A5" s="1485" t="s">
        <v>557</v>
      </c>
      <c r="B5" s="1486">
        <v>0.5</v>
      </c>
      <c r="C5" s="1486" t="s">
        <v>1782</v>
      </c>
      <c r="D5" s="1488" t="s">
        <v>1795</v>
      </c>
      <c r="E5" s="1487" t="s">
        <v>130</v>
      </c>
      <c r="F5" s="1487">
        <v>1</v>
      </c>
      <c r="G5" s="1487"/>
    </row>
    <row r="6" spans="1:7" ht="25.5" x14ac:dyDescent="0.25">
      <c r="A6" s="1762" t="s">
        <v>560</v>
      </c>
      <c r="B6" s="1764">
        <v>0.5</v>
      </c>
      <c r="C6" s="1764" t="s">
        <v>975</v>
      </c>
      <c r="D6" s="1759" t="s">
        <v>1797</v>
      </c>
      <c r="E6" s="1487" t="s">
        <v>1775</v>
      </c>
      <c r="F6" s="1487">
        <v>0.5</v>
      </c>
      <c r="G6" s="1487" t="s">
        <v>1791</v>
      </c>
    </row>
    <row r="7" spans="1:7" x14ac:dyDescent="0.25">
      <c r="A7" s="1763"/>
      <c r="B7" s="1765"/>
      <c r="C7" s="1765"/>
      <c r="D7" s="1761"/>
      <c r="E7" s="1487" t="s">
        <v>52</v>
      </c>
      <c r="F7" s="1487">
        <v>0.5</v>
      </c>
      <c r="G7" s="1487" t="s">
        <v>1792</v>
      </c>
    </row>
    <row r="8" spans="1:7" ht="25.5" x14ac:dyDescent="0.25">
      <c r="A8" s="1485" t="s">
        <v>515</v>
      </c>
      <c r="B8" s="1486" t="s">
        <v>1790</v>
      </c>
      <c r="C8" s="1486" t="s">
        <v>670</v>
      </c>
      <c r="D8" s="1486" t="s">
        <v>1790</v>
      </c>
      <c r="E8" s="1487" t="s">
        <v>1731</v>
      </c>
      <c r="F8" s="1487">
        <v>0</v>
      </c>
      <c r="G8" s="1487" t="s">
        <v>1789</v>
      </c>
    </row>
    <row r="9" spans="1:7" ht="25.5" x14ac:dyDescent="0.25">
      <c r="A9" s="1485" t="s">
        <v>516</v>
      </c>
      <c r="B9" s="1486">
        <v>0.65</v>
      </c>
      <c r="C9" s="1486" t="s">
        <v>1783</v>
      </c>
      <c r="D9" s="1488" t="s">
        <v>1798</v>
      </c>
      <c r="E9" s="1487" t="s">
        <v>312</v>
      </c>
      <c r="F9" s="1487">
        <v>1</v>
      </c>
      <c r="G9" s="1487"/>
    </row>
    <row r="10" spans="1:7" x14ac:dyDescent="0.25">
      <c r="A10" s="1485" t="s">
        <v>517</v>
      </c>
      <c r="B10" s="1486">
        <v>1</v>
      </c>
      <c r="C10" s="1486" t="s">
        <v>975</v>
      </c>
      <c r="D10" s="1486" t="s">
        <v>1799</v>
      </c>
      <c r="E10" s="1487" t="s">
        <v>1793</v>
      </c>
      <c r="F10" s="1487">
        <v>1</v>
      </c>
      <c r="G10" s="1487"/>
    </row>
    <row r="11" spans="1:7" ht="51" x14ac:dyDescent="0.25">
      <c r="A11" s="1485" t="s">
        <v>569</v>
      </c>
      <c r="B11" s="1486">
        <v>0.35</v>
      </c>
      <c r="C11" s="1486" t="s">
        <v>975</v>
      </c>
      <c r="D11" s="1488" t="s">
        <v>1800</v>
      </c>
      <c r="E11" s="1487" t="s">
        <v>1793</v>
      </c>
      <c r="F11" s="1487">
        <v>1</v>
      </c>
      <c r="G11" s="1487"/>
    </row>
    <row r="12" spans="1:7" ht="25.5" x14ac:dyDescent="0.25">
      <c r="A12" s="1485" t="s">
        <v>519</v>
      </c>
      <c r="B12" s="1486" t="s">
        <v>1790</v>
      </c>
      <c r="C12" s="1486" t="s">
        <v>975</v>
      </c>
      <c r="D12" s="1486" t="s">
        <v>1790</v>
      </c>
      <c r="E12" s="1487" t="s">
        <v>1731</v>
      </c>
      <c r="F12" s="1487">
        <v>0</v>
      </c>
      <c r="G12" s="1487" t="s">
        <v>1789</v>
      </c>
    </row>
    <row r="13" spans="1:7" ht="38.25" x14ac:dyDescent="0.25">
      <c r="A13" s="1485" t="s">
        <v>574</v>
      </c>
      <c r="B13" s="1486">
        <v>0.35</v>
      </c>
      <c r="C13" s="1486" t="s">
        <v>975</v>
      </c>
      <c r="D13" s="1488" t="s">
        <v>1801</v>
      </c>
      <c r="E13" s="1487" t="s">
        <v>52</v>
      </c>
      <c r="F13" s="1487">
        <v>1</v>
      </c>
      <c r="G13" s="1487"/>
    </row>
    <row r="14" spans="1:7" x14ac:dyDescent="0.25">
      <c r="A14" s="1766" t="s">
        <v>577</v>
      </c>
      <c r="B14" s="1767">
        <v>0.5</v>
      </c>
      <c r="C14" s="1767" t="s">
        <v>975</v>
      </c>
      <c r="D14" s="1759" t="s">
        <v>1803</v>
      </c>
      <c r="E14" s="1487" t="s">
        <v>313</v>
      </c>
      <c r="F14" s="1487">
        <v>0.7</v>
      </c>
      <c r="G14" s="1487" t="s">
        <v>1802</v>
      </c>
    </row>
    <row r="15" spans="1:7" ht="33" customHeight="1" x14ac:dyDescent="0.25">
      <c r="A15" s="1766"/>
      <c r="B15" s="1767"/>
      <c r="C15" s="1767"/>
      <c r="D15" s="1760"/>
      <c r="E15" s="1487" t="s">
        <v>1775</v>
      </c>
      <c r="F15" s="1489">
        <v>0.3</v>
      </c>
      <c r="G15" s="1490" t="s">
        <v>1794</v>
      </c>
    </row>
  </sheetData>
  <mergeCells count="8">
    <mergeCell ref="D14:D15"/>
    <mergeCell ref="D6:D7"/>
    <mergeCell ref="A6:A7"/>
    <mergeCell ref="B6:B7"/>
    <mergeCell ref="C6:C7"/>
    <mergeCell ref="A14:A15"/>
    <mergeCell ref="B14:B15"/>
    <mergeCell ref="C14:C1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525AC-4283-42FF-91B2-C3B746F115C5}">
  <dimension ref="A1:CA72"/>
  <sheetViews>
    <sheetView topLeftCell="A21" workbookViewId="0">
      <selection activeCell="N45" sqref="N45"/>
    </sheetView>
  </sheetViews>
  <sheetFormatPr defaultRowHeight="15" x14ac:dyDescent="0.25"/>
  <sheetData>
    <row r="1" spans="1:79" ht="15.75" x14ac:dyDescent="0.25">
      <c r="A1" s="1204" t="s">
        <v>540</v>
      </c>
      <c r="B1" s="1178"/>
      <c r="C1" s="1212"/>
      <c r="D1" s="1212"/>
      <c r="E1" s="1222"/>
      <c r="F1" s="1222"/>
      <c r="G1" s="1222"/>
      <c r="H1" s="1222"/>
      <c r="I1" s="1222"/>
      <c r="J1" s="1222"/>
      <c r="K1" s="1223"/>
      <c r="L1" s="1224"/>
      <c r="M1" s="1224"/>
      <c r="N1" s="1272" t="s">
        <v>591</v>
      </c>
      <c r="O1" s="1224"/>
      <c r="P1" s="1224"/>
      <c r="Q1" s="1224"/>
      <c r="R1" s="1224"/>
      <c r="S1" s="1224"/>
      <c r="T1" s="1224"/>
      <c r="U1" s="1224"/>
      <c r="V1" s="1224"/>
      <c r="W1" s="1216"/>
      <c r="X1" s="1216"/>
      <c r="Y1" s="1216"/>
      <c r="Z1" s="1216"/>
      <c r="AA1" s="1216"/>
      <c r="AB1" s="1216"/>
      <c r="AC1" s="1216"/>
      <c r="AD1" s="1216"/>
      <c r="AE1" s="1216"/>
      <c r="AF1" s="1216"/>
      <c r="AG1" s="1216"/>
      <c r="AH1" s="1216"/>
      <c r="AI1" s="1216"/>
      <c r="AJ1" s="1216"/>
      <c r="AK1" s="1216"/>
      <c r="AL1" s="1216"/>
      <c r="AM1" s="1216"/>
      <c r="AN1" s="1216"/>
      <c r="AO1" s="1216"/>
      <c r="AP1" s="1216"/>
      <c r="AQ1" s="1216"/>
      <c r="AR1" s="1216"/>
      <c r="AS1" s="1216"/>
      <c r="AT1" s="1216"/>
      <c r="AU1" s="1216"/>
      <c r="AV1" s="1216"/>
      <c r="AW1" s="1216"/>
      <c r="AX1" s="1216"/>
      <c r="AY1" s="1216"/>
      <c r="AZ1" s="1216"/>
      <c r="BA1" s="1216"/>
      <c r="BB1" s="1216"/>
      <c r="BC1" s="1216"/>
      <c r="BD1" s="1216"/>
      <c r="BE1" s="1216"/>
      <c r="BF1" s="1216"/>
      <c r="BG1" s="1216"/>
      <c r="BH1" s="1216"/>
      <c r="BI1" s="1216"/>
      <c r="BJ1" s="1216"/>
      <c r="BK1" s="1216"/>
      <c r="BL1" s="1216"/>
      <c r="BM1" s="1216"/>
      <c r="BN1" s="1216"/>
      <c r="BO1" s="1216"/>
      <c r="BP1" s="1216"/>
      <c r="BQ1" s="1216"/>
      <c r="BR1" s="1216"/>
      <c r="BS1" s="1216"/>
      <c r="BT1" s="1216"/>
      <c r="BU1" s="1216"/>
      <c r="BV1" s="1216"/>
      <c r="BW1" s="1216"/>
      <c r="BX1" s="1216"/>
      <c r="BY1" s="1216"/>
      <c r="BZ1" s="1216"/>
      <c r="CA1" s="1216"/>
    </row>
    <row r="2" spans="1:79" ht="18" x14ac:dyDescent="0.25">
      <c r="A2" s="1204" t="s">
        <v>592</v>
      </c>
      <c r="B2" s="1178"/>
      <c r="C2" s="1177"/>
      <c r="D2" s="1205"/>
      <c r="E2" s="1225"/>
      <c r="F2" s="1225"/>
      <c r="G2" s="1225"/>
      <c r="H2" s="1225"/>
      <c r="I2" s="1225"/>
      <c r="J2" s="1225"/>
      <c r="K2" s="1225"/>
      <c r="L2" s="1224"/>
      <c r="M2" s="1224"/>
      <c r="N2" s="1224"/>
      <c r="O2" s="1224"/>
      <c r="P2" s="1224"/>
      <c r="Q2" s="1224"/>
      <c r="R2" s="1224"/>
      <c r="S2" s="1224"/>
      <c r="T2" s="1224"/>
      <c r="U2" s="1224"/>
      <c r="V2" s="1224"/>
      <c r="W2" s="1216"/>
      <c r="X2" s="1216"/>
      <c r="Y2" s="1216"/>
      <c r="Z2" s="1216"/>
      <c r="AA2" s="1216"/>
      <c r="AB2" s="1216"/>
      <c r="AC2" s="1216"/>
      <c r="AD2" s="1216"/>
      <c r="AE2" s="1216"/>
      <c r="AF2" s="1216"/>
      <c r="AG2" s="1216"/>
      <c r="AH2" s="1216"/>
      <c r="AI2" s="1216"/>
      <c r="AJ2" s="1216"/>
      <c r="AK2" s="1216"/>
      <c r="AL2" s="1216"/>
      <c r="AM2" s="1216"/>
      <c r="AN2" s="1216"/>
      <c r="AO2" s="1216"/>
      <c r="AP2" s="1216"/>
      <c r="AQ2" s="1216"/>
      <c r="AR2" s="1216"/>
      <c r="AS2" s="1216"/>
      <c r="AT2" s="1216"/>
      <c r="AU2" s="1216"/>
      <c r="AV2" s="1216"/>
      <c r="AW2" s="1216"/>
      <c r="AX2" s="1216"/>
      <c r="AY2" s="1216"/>
      <c r="AZ2" s="1216"/>
      <c r="BA2" s="1216"/>
      <c r="BB2" s="1216"/>
      <c r="BC2" s="1216"/>
      <c r="BD2" s="1216"/>
      <c r="BE2" s="1216"/>
      <c r="BF2" s="1216"/>
      <c r="BG2" s="1216"/>
      <c r="BH2" s="1216"/>
      <c r="BI2" s="1216"/>
      <c r="BJ2" s="1216"/>
      <c r="BK2" s="1216"/>
      <c r="BL2" s="1216"/>
      <c r="BM2" s="1216"/>
      <c r="BN2" s="1216"/>
      <c r="BO2" s="1216"/>
      <c r="BP2" s="1216"/>
      <c r="BQ2" s="1216"/>
      <c r="BR2" s="1216"/>
      <c r="BS2" s="1216"/>
      <c r="BT2" s="1216"/>
      <c r="BU2" s="1216"/>
      <c r="BV2" s="1216"/>
      <c r="BW2" s="1216"/>
      <c r="BX2" s="1216"/>
      <c r="BY2" s="1216"/>
      <c r="BZ2" s="1216"/>
      <c r="CA2" s="1216"/>
    </row>
    <row r="3" spans="1:79" ht="18" x14ac:dyDescent="0.25">
      <c r="A3" s="1206" t="s">
        <v>593</v>
      </c>
      <c r="B3" s="1178"/>
      <c r="C3" s="1179"/>
      <c r="D3" s="1205"/>
      <c r="E3" s="1225"/>
      <c r="F3" s="1225"/>
      <c r="G3" s="1225"/>
      <c r="H3" s="1225"/>
      <c r="I3" s="1225"/>
      <c r="J3" s="1225"/>
      <c r="K3" s="1225"/>
      <c r="L3" s="1224"/>
      <c r="M3" s="1224"/>
      <c r="N3" s="1224"/>
      <c r="O3" s="1224"/>
      <c r="P3" s="1224"/>
      <c r="Q3" s="1224"/>
      <c r="R3" s="1224"/>
      <c r="S3" s="1224"/>
      <c r="T3" s="1224"/>
      <c r="U3" s="1224"/>
      <c r="V3" s="1224"/>
      <c r="W3" s="1216"/>
      <c r="X3" s="1216"/>
      <c r="Y3" s="1216"/>
      <c r="Z3" s="1216"/>
      <c r="AA3" s="1216"/>
      <c r="AB3" s="1216"/>
      <c r="AC3" s="1216"/>
      <c r="AD3" s="1216"/>
      <c r="AE3" s="1216"/>
      <c r="AF3" s="1216"/>
      <c r="AG3" s="1216"/>
      <c r="AH3" s="1216"/>
      <c r="AI3" s="1216"/>
      <c r="AJ3" s="1216"/>
      <c r="AK3" s="1216"/>
      <c r="AL3" s="1216"/>
      <c r="AM3" s="1216"/>
      <c r="AN3" s="1216"/>
      <c r="AO3" s="1216"/>
      <c r="AP3" s="1216"/>
      <c r="AQ3" s="1216"/>
      <c r="AR3" s="1216"/>
      <c r="AS3" s="1216"/>
      <c r="AT3" s="1216"/>
      <c r="AU3" s="1216"/>
      <c r="AV3" s="1216"/>
      <c r="AW3" s="1216"/>
      <c r="AX3" s="1216"/>
      <c r="AY3" s="1216"/>
      <c r="AZ3" s="1216"/>
      <c r="BA3" s="1216"/>
      <c r="BB3" s="1216"/>
      <c r="BC3" s="1216"/>
      <c r="BD3" s="1216"/>
      <c r="BE3" s="1216"/>
      <c r="BF3" s="1216"/>
      <c r="BG3" s="1216"/>
      <c r="BH3" s="1216"/>
      <c r="BI3" s="1216"/>
      <c r="BJ3" s="1216"/>
      <c r="BK3" s="1216"/>
      <c r="BL3" s="1216"/>
      <c r="BM3" s="1216"/>
      <c r="BN3" s="1216"/>
      <c r="BO3" s="1216"/>
      <c r="BP3" s="1216"/>
      <c r="BQ3" s="1216"/>
      <c r="BR3" s="1216"/>
      <c r="BS3" s="1216"/>
      <c r="BT3" s="1216"/>
      <c r="BU3" s="1216"/>
      <c r="BV3" s="1216"/>
      <c r="BW3" s="1216"/>
      <c r="BX3" s="1216"/>
      <c r="BY3" s="1216"/>
      <c r="BZ3" s="1216"/>
      <c r="CA3" s="1216"/>
    </row>
    <row r="4" spans="1:79" x14ac:dyDescent="0.25">
      <c r="A4" s="1276"/>
      <c r="B4" s="1276"/>
      <c r="C4" s="1277"/>
      <c r="D4" s="1277"/>
      <c r="E4" s="1278"/>
      <c r="F4" s="1278"/>
      <c r="G4" s="1278"/>
      <c r="H4" s="1278"/>
      <c r="I4" s="1278"/>
      <c r="J4" s="1278"/>
      <c r="K4" s="1278"/>
      <c r="L4" s="1279"/>
      <c r="M4" s="1279"/>
      <c r="N4" s="1278"/>
      <c r="O4" s="1280"/>
      <c r="P4" s="1280"/>
      <c r="Q4" s="1280"/>
      <c r="R4" s="1278"/>
      <c r="S4" s="1278"/>
      <c r="T4" s="1278"/>
      <c r="U4" s="1278"/>
      <c r="V4" s="1278"/>
      <c r="W4" s="1172"/>
      <c r="X4" s="1172"/>
      <c r="Y4" s="1172"/>
      <c r="Z4" s="1172"/>
      <c r="AA4" s="1172"/>
      <c r="AB4" s="1172"/>
      <c r="AC4" s="1172"/>
      <c r="AD4" s="1172"/>
      <c r="AE4" s="1172"/>
      <c r="AF4" s="1172"/>
      <c r="AG4" s="1172"/>
      <c r="AH4" s="1172"/>
      <c r="AI4" s="1172"/>
      <c r="AJ4" s="1172"/>
      <c r="AK4" s="1172"/>
      <c r="AL4" s="1172"/>
      <c r="AM4" s="1172"/>
      <c r="AN4" s="1172"/>
      <c r="AO4" s="1172"/>
      <c r="AP4" s="1172"/>
      <c r="AQ4" s="1172"/>
      <c r="AR4" s="1172"/>
      <c r="AS4" s="1172"/>
      <c r="AT4" s="1172"/>
      <c r="AU4" s="1172"/>
      <c r="AV4" s="1172"/>
      <c r="AW4" s="1172"/>
      <c r="AX4" s="1172"/>
      <c r="AY4" s="1172"/>
      <c r="AZ4" s="1172"/>
      <c r="BA4" s="1172"/>
      <c r="BB4" s="1172"/>
      <c r="BC4" s="1172"/>
      <c r="BD4" s="1172"/>
      <c r="BE4" s="1172"/>
      <c r="BF4" s="1172"/>
      <c r="BG4" s="1172"/>
      <c r="BH4" s="1172"/>
      <c r="BI4" s="1172"/>
      <c r="BJ4" s="1172"/>
      <c r="BK4" s="1172"/>
      <c r="BL4" s="1172"/>
      <c r="BM4" s="1172"/>
      <c r="BN4" s="1172"/>
      <c r="BO4" s="1172"/>
      <c r="BP4" s="1172"/>
      <c r="BQ4" s="1172"/>
      <c r="BR4" s="1172"/>
      <c r="BS4" s="1172"/>
      <c r="BT4" s="1172"/>
      <c r="BU4" s="1172"/>
      <c r="BV4" s="1172"/>
      <c r="BW4" s="1172"/>
      <c r="BX4" s="1172"/>
      <c r="BY4" s="1172"/>
      <c r="BZ4" s="1172"/>
      <c r="CA4" s="1172"/>
    </row>
    <row r="5" spans="1:79" x14ac:dyDescent="0.25">
      <c r="A5" s="1181"/>
      <c r="B5" s="1182"/>
      <c r="C5" s="1180"/>
      <c r="D5" s="1180"/>
      <c r="E5" s="1226"/>
      <c r="F5" s="1226"/>
      <c r="G5" s="1226"/>
      <c r="H5" s="1226"/>
      <c r="I5" s="1226"/>
      <c r="J5" s="1226"/>
      <c r="K5" s="1226"/>
      <c r="L5" s="1227"/>
      <c r="M5" s="1227"/>
      <c r="N5" s="1226"/>
      <c r="O5" s="1228"/>
      <c r="P5" s="1228"/>
      <c r="Q5" s="1228"/>
      <c r="R5" s="1226"/>
      <c r="S5" s="1226"/>
      <c r="T5" s="1226"/>
      <c r="U5" s="1226"/>
      <c r="V5" s="1226"/>
      <c r="W5" s="1208"/>
      <c r="X5" s="1208"/>
      <c r="Y5" s="1208"/>
      <c r="Z5" s="1208"/>
      <c r="AA5" s="1208"/>
      <c r="AB5" s="1208"/>
      <c r="AC5" s="1208"/>
      <c r="AD5" s="1208"/>
      <c r="AE5" s="1208"/>
      <c r="AF5" s="1208"/>
      <c r="AG5" s="1208"/>
      <c r="AH5" s="1208"/>
      <c r="AI5" s="1208"/>
      <c r="AJ5" s="1208"/>
      <c r="AK5" s="1208"/>
      <c r="AL5" s="1208"/>
      <c r="AM5" s="1208"/>
      <c r="AN5" s="1208"/>
      <c r="AO5" s="1208"/>
      <c r="AP5" s="1208"/>
      <c r="AQ5" s="1208"/>
      <c r="AR5" s="1208"/>
      <c r="AS5" s="1208"/>
      <c r="AT5" s="1208"/>
      <c r="AU5" s="1208"/>
      <c r="AV5" s="1208"/>
      <c r="AW5" s="1208"/>
      <c r="AX5" s="1208"/>
      <c r="AY5" s="1208"/>
      <c r="AZ5" s="1208"/>
      <c r="BA5" s="1208"/>
      <c r="BB5" s="1208"/>
      <c r="BC5" s="1208"/>
      <c r="BD5" s="1208"/>
      <c r="BE5" s="1208"/>
      <c r="BF5" s="1208"/>
      <c r="BG5" s="1208"/>
      <c r="BH5" s="1208"/>
      <c r="BI5" s="1208"/>
      <c r="BJ5" s="1208"/>
      <c r="BK5" s="1208"/>
      <c r="BL5" s="1208"/>
      <c r="BM5" s="1208"/>
      <c r="BN5" s="1208"/>
      <c r="BO5" s="1208"/>
      <c r="BP5" s="1208"/>
      <c r="BQ5" s="1208"/>
      <c r="BR5" s="1208"/>
      <c r="BS5" s="1208"/>
      <c r="BT5" s="1208"/>
      <c r="BU5" s="1208"/>
      <c r="BV5" s="1208"/>
      <c r="BW5" s="1208"/>
      <c r="BX5" s="1208"/>
      <c r="BY5" s="1208"/>
      <c r="BZ5" s="1208"/>
      <c r="CA5" s="1208"/>
    </row>
    <row r="6" spans="1:79" x14ac:dyDescent="0.25">
      <c r="A6" s="1181"/>
      <c r="B6" s="1182"/>
      <c r="C6" s="1180"/>
      <c r="D6" s="1180"/>
      <c r="E6" s="1281" t="s">
        <v>594</v>
      </c>
      <c r="F6" s="1281"/>
      <c r="G6" s="1281"/>
      <c r="H6" s="1281"/>
      <c r="I6" s="1281"/>
      <c r="J6" s="1229"/>
      <c r="K6" s="1229" t="s">
        <v>595</v>
      </c>
      <c r="L6" s="1230"/>
      <c r="M6" s="1230"/>
      <c r="N6" s="1281" t="s">
        <v>596</v>
      </c>
      <c r="O6" s="1281"/>
      <c r="P6" s="1281"/>
      <c r="Q6" s="1281"/>
      <c r="R6" s="1281"/>
      <c r="S6" s="1281"/>
      <c r="T6" s="1281"/>
      <c r="U6" s="1281"/>
      <c r="V6" s="1281"/>
      <c r="W6" s="1208"/>
      <c r="X6" s="1208"/>
      <c r="Y6" s="1208"/>
      <c r="Z6" s="1208"/>
      <c r="AA6" s="1208"/>
      <c r="AB6" s="1208"/>
      <c r="AC6" s="1208"/>
      <c r="AD6" s="1208"/>
      <c r="AE6" s="1208"/>
      <c r="AF6" s="1208"/>
      <c r="AG6" s="1208"/>
      <c r="AH6" s="1208"/>
      <c r="AI6" s="1208"/>
      <c r="AJ6" s="1208"/>
      <c r="AK6" s="1208"/>
      <c r="AL6" s="1208"/>
      <c r="AM6" s="1208"/>
      <c r="AN6" s="1208"/>
      <c r="AO6" s="1208"/>
      <c r="AP6" s="1208"/>
      <c r="AQ6" s="1208"/>
      <c r="AR6" s="1208"/>
      <c r="AS6" s="1208"/>
      <c r="AT6" s="1208"/>
      <c r="AU6" s="1208"/>
      <c r="AV6" s="1208"/>
      <c r="AW6" s="1208"/>
      <c r="AX6" s="1208"/>
      <c r="AY6" s="1208"/>
      <c r="AZ6" s="1208"/>
      <c r="BA6" s="1208"/>
      <c r="BB6" s="1208"/>
      <c r="BC6" s="1208"/>
      <c r="BD6" s="1208"/>
      <c r="BE6" s="1208"/>
      <c r="BF6" s="1208"/>
      <c r="BG6" s="1208"/>
      <c r="BH6" s="1208"/>
      <c r="BI6" s="1208"/>
      <c r="BJ6" s="1208"/>
      <c r="BK6" s="1208"/>
      <c r="BL6" s="1208"/>
      <c r="BM6" s="1208"/>
      <c r="BN6" s="1208"/>
      <c r="BO6" s="1208"/>
      <c r="BP6" s="1208"/>
      <c r="BQ6" s="1208"/>
      <c r="BR6" s="1208"/>
      <c r="BS6" s="1208"/>
      <c r="BT6" s="1208"/>
      <c r="BU6" s="1208"/>
      <c r="BV6" s="1208"/>
      <c r="BW6" s="1208"/>
      <c r="BX6" s="1208"/>
      <c r="BY6" s="1208"/>
      <c r="BZ6" s="1208"/>
      <c r="CA6" s="1208"/>
    </row>
    <row r="7" spans="1:79" x14ac:dyDescent="0.25">
      <c r="A7" s="1172"/>
      <c r="B7" s="1172"/>
      <c r="C7" s="1256"/>
      <c r="D7" s="1256"/>
      <c r="E7" s="1231" t="s">
        <v>597</v>
      </c>
      <c r="F7" s="1232"/>
      <c r="G7" s="1233"/>
      <c r="H7" s="1234" t="s">
        <v>598</v>
      </c>
      <c r="I7" s="1232"/>
      <c r="J7" s="1230"/>
      <c r="K7" s="1235" t="s">
        <v>527</v>
      </c>
      <c r="L7" s="1236" t="s">
        <v>528</v>
      </c>
      <c r="M7" s="1237"/>
      <c r="N7" s="1768" t="s">
        <v>529</v>
      </c>
      <c r="O7" s="1769"/>
      <c r="P7" s="1238"/>
      <c r="Q7" s="1231" t="s">
        <v>530</v>
      </c>
      <c r="R7" s="1239"/>
      <c r="S7" s="1232"/>
      <c r="T7" s="1230"/>
      <c r="U7" s="1234" t="s">
        <v>599</v>
      </c>
      <c r="V7" s="1232"/>
      <c r="W7" s="1208"/>
      <c r="X7" s="1208"/>
      <c r="Y7" s="1208"/>
      <c r="Z7" s="1208"/>
      <c r="AA7" s="1208"/>
      <c r="AB7" s="1208"/>
      <c r="AC7" s="1208"/>
      <c r="AD7" s="1208"/>
      <c r="AE7" s="1208"/>
      <c r="AF7" s="1208"/>
      <c r="AG7" s="1208"/>
      <c r="AH7" s="1208"/>
      <c r="AI7" s="1208"/>
      <c r="AJ7" s="1208"/>
      <c r="AK7" s="1208"/>
      <c r="AL7" s="1208"/>
      <c r="AM7" s="1208"/>
      <c r="AN7" s="1208"/>
      <c r="AO7" s="1208"/>
      <c r="AP7" s="1208"/>
      <c r="AQ7" s="1208"/>
      <c r="AR7" s="1208"/>
      <c r="AS7" s="1208"/>
      <c r="AT7" s="1208"/>
      <c r="AU7" s="1208"/>
      <c r="AV7" s="1208"/>
      <c r="AW7" s="1208"/>
      <c r="AX7" s="1208"/>
      <c r="AY7" s="1208"/>
      <c r="AZ7" s="1208"/>
      <c r="BA7" s="1208"/>
      <c r="BB7" s="1208"/>
      <c r="BC7" s="1208"/>
      <c r="BD7" s="1208"/>
      <c r="BE7" s="1208"/>
      <c r="BF7" s="1208"/>
      <c r="BG7" s="1208"/>
      <c r="BH7" s="1208"/>
      <c r="BI7" s="1208"/>
      <c r="BJ7" s="1208"/>
      <c r="BK7" s="1208"/>
      <c r="BL7" s="1208"/>
      <c r="BM7" s="1208"/>
      <c r="BN7" s="1208"/>
      <c r="BO7" s="1208"/>
      <c r="BP7" s="1208"/>
      <c r="BQ7" s="1208"/>
      <c r="BR7" s="1208"/>
      <c r="BS7" s="1208"/>
      <c r="BT7" s="1208"/>
      <c r="BU7" s="1208"/>
      <c r="BV7" s="1208"/>
      <c r="BW7" s="1208"/>
      <c r="BX7" s="1208"/>
      <c r="BY7" s="1208"/>
      <c r="BZ7" s="1208"/>
      <c r="CA7" s="1208"/>
    </row>
    <row r="8" spans="1:79" x14ac:dyDescent="0.25">
      <c r="A8" s="1172"/>
      <c r="B8" s="1172"/>
      <c r="C8" s="1176"/>
      <c r="D8" s="1176"/>
      <c r="E8" s="1240" t="s">
        <v>527</v>
      </c>
      <c r="F8" s="1240" t="s">
        <v>600</v>
      </c>
      <c r="G8" s="1240"/>
      <c r="H8" s="1240" t="s">
        <v>527</v>
      </c>
      <c r="I8" s="1240" t="s">
        <v>528</v>
      </c>
      <c r="J8" s="1240"/>
      <c r="K8" s="1237" t="s">
        <v>532</v>
      </c>
      <c r="L8" s="1237" t="s">
        <v>533</v>
      </c>
      <c r="M8" s="1237"/>
      <c r="N8" s="1240" t="s">
        <v>534</v>
      </c>
      <c r="O8" s="1241" t="s">
        <v>534</v>
      </c>
      <c r="P8" s="1240"/>
      <c r="Q8" s="1237" t="s">
        <v>534</v>
      </c>
      <c r="R8" s="1241" t="s">
        <v>534</v>
      </c>
      <c r="S8" s="1241" t="s">
        <v>534</v>
      </c>
      <c r="T8" s="1240"/>
      <c r="U8" s="1241" t="s">
        <v>601</v>
      </c>
      <c r="V8" s="1241" t="s">
        <v>534</v>
      </c>
      <c r="W8" s="1172"/>
      <c r="X8" s="1172"/>
      <c r="Y8" s="1172"/>
      <c r="Z8" s="1172"/>
      <c r="AA8" s="1172"/>
      <c r="AB8" s="1172"/>
      <c r="AC8" s="1172"/>
      <c r="AD8" s="1172"/>
      <c r="AE8" s="1172"/>
      <c r="AF8" s="1172"/>
      <c r="AG8" s="1172"/>
      <c r="AH8" s="1172"/>
      <c r="AI8" s="1172"/>
      <c r="AJ8" s="1172"/>
      <c r="AK8" s="1172"/>
      <c r="AL8" s="1172"/>
      <c r="AM8" s="1172"/>
      <c r="AN8" s="1172"/>
      <c r="AO8" s="1172"/>
      <c r="AP8" s="1172"/>
      <c r="AQ8" s="1172"/>
      <c r="AR8" s="1172"/>
      <c r="AS8" s="1172"/>
      <c r="AT8" s="1172"/>
      <c r="AU8" s="1172"/>
      <c r="AV8" s="1172"/>
      <c r="AW8" s="1172"/>
      <c r="AX8" s="1172"/>
      <c r="AY8" s="1172"/>
      <c r="AZ8" s="1172"/>
      <c r="BA8" s="1172"/>
      <c r="BB8" s="1172"/>
      <c r="BC8" s="1172"/>
      <c r="BD8" s="1172"/>
      <c r="BE8" s="1172"/>
      <c r="BF8" s="1172"/>
      <c r="BG8" s="1172"/>
      <c r="BH8" s="1172"/>
      <c r="BI8" s="1172"/>
      <c r="BJ8" s="1172"/>
      <c r="BK8" s="1172"/>
      <c r="BL8" s="1172"/>
      <c r="BM8" s="1172"/>
      <c r="BN8" s="1172"/>
      <c r="BO8" s="1172"/>
      <c r="BP8" s="1172"/>
      <c r="BQ8" s="1172"/>
      <c r="BR8" s="1172"/>
      <c r="BS8" s="1172"/>
      <c r="BT8" s="1172"/>
      <c r="BU8" s="1172"/>
      <c r="BV8" s="1172"/>
      <c r="BW8" s="1172"/>
      <c r="BX8" s="1172"/>
      <c r="BY8" s="1172"/>
      <c r="BZ8" s="1172"/>
      <c r="CA8" s="1172"/>
    </row>
    <row r="9" spans="1:79" x14ac:dyDescent="0.25">
      <c r="A9" s="1172"/>
      <c r="B9" s="1172"/>
      <c r="C9" s="1176"/>
      <c r="D9" s="1176"/>
      <c r="E9" s="1237" t="s">
        <v>532</v>
      </c>
      <c r="F9" s="1240" t="s">
        <v>533</v>
      </c>
      <c r="G9" s="1240"/>
      <c r="H9" s="1237" t="s">
        <v>532</v>
      </c>
      <c r="I9" s="1240" t="s">
        <v>533</v>
      </c>
      <c r="J9" s="1240"/>
      <c r="K9" s="1237" t="s">
        <v>536</v>
      </c>
      <c r="L9" s="1237"/>
      <c r="M9" s="1237"/>
      <c r="N9" s="1240" t="s">
        <v>537</v>
      </c>
      <c r="O9" s="1240" t="s">
        <v>538</v>
      </c>
      <c r="P9" s="1240"/>
      <c r="Q9" s="1240" t="s">
        <v>537</v>
      </c>
      <c r="R9" s="1240" t="s">
        <v>538</v>
      </c>
      <c r="S9" s="1240" t="s">
        <v>539</v>
      </c>
      <c r="T9" s="1240"/>
      <c r="U9" s="1240" t="s">
        <v>543</v>
      </c>
      <c r="V9" s="1240" t="s">
        <v>543</v>
      </c>
      <c r="W9" s="1172"/>
      <c r="X9" s="1172"/>
      <c r="Y9" s="1172"/>
      <c r="Z9" s="1172"/>
      <c r="AA9" s="1172"/>
      <c r="AB9" s="1172"/>
      <c r="AC9" s="1172"/>
      <c r="AD9" s="1172"/>
      <c r="AE9" s="1172"/>
      <c r="AF9" s="1172"/>
      <c r="AG9" s="1172"/>
      <c r="AH9" s="1172"/>
      <c r="AI9" s="1172"/>
      <c r="AJ9" s="1172"/>
      <c r="AK9" s="1172"/>
      <c r="AL9" s="1172"/>
      <c r="AM9" s="1172"/>
      <c r="AN9" s="1172"/>
      <c r="AO9" s="1172"/>
      <c r="AP9" s="1172"/>
      <c r="AQ9" s="1172"/>
      <c r="AR9" s="1172"/>
      <c r="AS9" s="1172"/>
      <c r="AT9" s="1172"/>
      <c r="AU9" s="1172"/>
      <c r="AV9" s="1172"/>
      <c r="AW9" s="1172"/>
      <c r="AX9" s="1172"/>
      <c r="AY9" s="1172"/>
      <c r="AZ9" s="1172"/>
      <c r="BA9" s="1172"/>
      <c r="BB9" s="1172"/>
      <c r="BC9" s="1172"/>
      <c r="BD9" s="1172"/>
      <c r="BE9" s="1172"/>
      <c r="BF9" s="1172"/>
      <c r="BG9" s="1172"/>
      <c r="BH9" s="1172"/>
      <c r="BI9" s="1172"/>
      <c r="BJ9" s="1172"/>
      <c r="BK9" s="1172"/>
      <c r="BL9" s="1172"/>
      <c r="BM9" s="1172"/>
      <c r="BN9" s="1172"/>
      <c r="BO9" s="1172"/>
      <c r="BP9" s="1172"/>
      <c r="BQ9" s="1172"/>
      <c r="BR9" s="1172"/>
      <c r="BS9" s="1172"/>
      <c r="BT9" s="1172"/>
      <c r="BU9" s="1172"/>
      <c r="BV9" s="1172"/>
      <c r="BW9" s="1172"/>
      <c r="BX9" s="1172"/>
      <c r="BY9" s="1172"/>
      <c r="BZ9" s="1172"/>
      <c r="CA9" s="1172"/>
    </row>
    <row r="10" spans="1:79" x14ac:dyDescent="0.25">
      <c r="A10" s="1172"/>
      <c r="B10" s="1172"/>
      <c r="C10" s="1176"/>
      <c r="D10" s="1176"/>
      <c r="E10" s="1242"/>
      <c r="F10" s="1240"/>
      <c r="G10" s="1240"/>
      <c r="H10" s="1242"/>
      <c r="I10" s="1240"/>
      <c r="J10" s="1240"/>
      <c r="K10" s="1242"/>
      <c r="L10" s="1242"/>
      <c r="M10" s="1242"/>
      <c r="N10" s="1240" t="s">
        <v>541</v>
      </c>
      <c r="O10" s="1240" t="s">
        <v>542</v>
      </c>
      <c r="P10" s="1240"/>
      <c r="Q10" s="1240" t="s">
        <v>541</v>
      </c>
      <c r="R10" s="1240" t="s">
        <v>543</v>
      </c>
      <c r="S10" s="1240" t="s">
        <v>542</v>
      </c>
      <c r="T10" s="1240"/>
      <c r="U10" s="1237"/>
      <c r="V10" s="1237"/>
      <c r="W10" s="1172"/>
      <c r="X10" s="1172"/>
      <c r="Y10" s="1172"/>
      <c r="Z10" s="1172"/>
      <c r="AA10" s="1172"/>
      <c r="AB10" s="1172"/>
      <c r="AC10" s="1172"/>
      <c r="AD10" s="1172"/>
      <c r="AE10" s="1172"/>
      <c r="AF10" s="1172"/>
      <c r="AG10" s="1172"/>
      <c r="AH10" s="1172"/>
      <c r="AI10" s="1172"/>
      <c r="AJ10" s="1172"/>
      <c r="AK10" s="1172"/>
      <c r="AL10" s="1172"/>
      <c r="AM10" s="1172"/>
      <c r="AN10" s="1172"/>
      <c r="AO10" s="1172"/>
      <c r="AP10" s="1172"/>
      <c r="AQ10" s="1172"/>
      <c r="AR10" s="1172"/>
      <c r="AS10" s="1172"/>
      <c r="AT10" s="1172"/>
      <c r="AU10" s="1172"/>
      <c r="AV10" s="1172"/>
      <c r="AW10" s="1172"/>
      <c r="AX10" s="1172"/>
      <c r="AY10" s="1172"/>
      <c r="AZ10" s="1172"/>
      <c r="BA10" s="1172"/>
      <c r="BB10" s="1172"/>
      <c r="BC10" s="1172"/>
      <c r="BD10" s="1172"/>
      <c r="BE10" s="1172"/>
      <c r="BF10" s="1172"/>
      <c r="BG10" s="1172"/>
      <c r="BH10" s="1172"/>
      <c r="BI10" s="1172"/>
      <c r="BJ10" s="1172"/>
      <c r="BK10" s="1172"/>
      <c r="BL10" s="1172"/>
      <c r="BM10" s="1172"/>
      <c r="BN10" s="1172"/>
      <c r="BO10" s="1172"/>
      <c r="BP10" s="1172"/>
      <c r="BQ10" s="1172"/>
      <c r="BR10" s="1172"/>
      <c r="BS10" s="1172"/>
      <c r="BT10" s="1172"/>
      <c r="BU10" s="1172"/>
      <c r="BV10" s="1172"/>
      <c r="BW10" s="1172"/>
      <c r="BX10" s="1172"/>
      <c r="BY10" s="1172"/>
      <c r="BZ10" s="1172"/>
      <c r="CA10" s="1172"/>
    </row>
    <row r="11" spans="1:79" x14ac:dyDescent="0.25">
      <c r="A11" s="1183"/>
      <c r="B11" s="1183"/>
      <c r="C11" s="1183"/>
      <c r="D11" s="1183"/>
      <c r="E11" s="1243"/>
      <c r="F11" s="1243"/>
      <c r="G11" s="1243"/>
      <c r="H11" s="1243"/>
      <c r="I11" s="1243"/>
      <c r="J11" s="1243"/>
      <c r="K11" s="1243"/>
      <c r="L11" s="1243"/>
      <c r="M11" s="1243"/>
      <c r="N11" s="1242"/>
      <c r="O11" s="1240" t="s">
        <v>543</v>
      </c>
      <c r="P11" s="1240"/>
      <c r="Q11" s="1242"/>
      <c r="R11" s="1242"/>
      <c r="S11" s="1240" t="s">
        <v>543</v>
      </c>
      <c r="T11" s="1240"/>
      <c r="U11" s="1242"/>
      <c r="V11" s="1242"/>
      <c r="W11" s="1172"/>
      <c r="X11" s="1172"/>
      <c r="Y11" s="1172"/>
      <c r="Z11" s="1172"/>
      <c r="AA11" s="1172"/>
      <c r="AB11" s="1172"/>
      <c r="AC11" s="1172"/>
      <c r="AD11" s="1172"/>
      <c r="AE11" s="1172"/>
      <c r="AF11" s="1172"/>
      <c r="AG11" s="1172"/>
      <c r="AH11" s="1172"/>
      <c r="AI11" s="1172"/>
      <c r="AJ11" s="1172"/>
      <c r="AK11" s="1172"/>
      <c r="AL11" s="1172"/>
      <c r="AM11" s="1172"/>
      <c r="AN11" s="1172"/>
      <c r="AO11" s="1172"/>
      <c r="AP11" s="1172"/>
      <c r="AQ11" s="1172"/>
      <c r="AR11" s="1172"/>
      <c r="AS11" s="1172"/>
      <c r="AT11" s="1172"/>
      <c r="AU11" s="1172"/>
      <c r="AV11" s="1172"/>
      <c r="AW11" s="1172"/>
      <c r="AX11" s="1172"/>
      <c r="AY11" s="1172"/>
      <c r="AZ11" s="1172"/>
      <c r="BA11" s="1172"/>
      <c r="BB11" s="1172"/>
      <c r="BC11" s="1172"/>
      <c r="BD11" s="1172"/>
      <c r="BE11" s="1172"/>
      <c r="BF11" s="1172"/>
      <c r="BG11" s="1172"/>
      <c r="BH11" s="1172"/>
      <c r="BI11" s="1172"/>
      <c r="BJ11" s="1172"/>
      <c r="BK11" s="1172"/>
      <c r="BL11" s="1172"/>
      <c r="BM11" s="1172"/>
      <c r="BN11" s="1172"/>
      <c r="BO11" s="1172"/>
      <c r="BP11" s="1172"/>
      <c r="BQ11" s="1172"/>
      <c r="BR11" s="1172"/>
      <c r="BS11" s="1172"/>
      <c r="BT11" s="1172"/>
      <c r="BU11" s="1172"/>
      <c r="BV11" s="1172"/>
      <c r="BW11" s="1172"/>
      <c r="BX11" s="1172"/>
      <c r="BY11" s="1172"/>
      <c r="BZ11" s="1172"/>
      <c r="CA11" s="1172"/>
    </row>
    <row r="12" spans="1:79" x14ac:dyDescent="0.25">
      <c r="A12" s="1276"/>
      <c r="B12" s="1276"/>
      <c r="C12" s="1277"/>
      <c r="D12" s="1277"/>
      <c r="E12" s="1278"/>
      <c r="F12" s="1278"/>
      <c r="G12" s="1278"/>
      <c r="H12" s="1278"/>
      <c r="I12" s="1278"/>
      <c r="J12" s="1278"/>
      <c r="K12" s="1278"/>
      <c r="L12" s="1278"/>
      <c r="M12" s="1278"/>
      <c r="N12" s="1278"/>
      <c r="O12" s="1280"/>
      <c r="P12" s="1280"/>
      <c r="Q12" s="1280"/>
      <c r="R12" s="1278"/>
      <c r="S12" s="1278"/>
      <c r="T12" s="1278"/>
      <c r="U12" s="1278"/>
      <c r="V12" s="1278"/>
      <c r="W12" s="1172"/>
      <c r="X12" s="1172"/>
      <c r="Y12" s="1172"/>
      <c r="Z12" s="1172"/>
      <c r="AA12" s="1172"/>
      <c r="AB12" s="1172"/>
      <c r="AC12" s="1172"/>
      <c r="AD12" s="1172"/>
      <c r="AE12" s="1172"/>
      <c r="AF12" s="1172"/>
      <c r="AG12" s="1172"/>
      <c r="AH12" s="1172"/>
      <c r="AI12" s="1172"/>
      <c r="AJ12" s="1172"/>
      <c r="AK12" s="1172"/>
      <c r="AL12" s="1172"/>
      <c r="AM12" s="1172"/>
      <c r="AN12" s="1172"/>
      <c r="AO12" s="1172"/>
      <c r="AP12" s="1172"/>
      <c r="AQ12" s="1172"/>
      <c r="AR12" s="1172"/>
      <c r="AS12" s="1172"/>
      <c r="AT12" s="1172"/>
      <c r="AU12" s="1172"/>
      <c r="AV12" s="1172"/>
      <c r="AW12" s="1172"/>
      <c r="AX12" s="1172"/>
      <c r="AY12" s="1172"/>
      <c r="AZ12" s="1172"/>
      <c r="BA12" s="1172"/>
      <c r="BB12" s="1172"/>
      <c r="BC12" s="1172"/>
      <c r="BD12" s="1172"/>
      <c r="BE12" s="1172"/>
      <c r="BF12" s="1172"/>
      <c r="BG12" s="1172"/>
      <c r="BH12" s="1172"/>
      <c r="BI12" s="1172"/>
      <c r="BJ12" s="1172"/>
      <c r="BK12" s="1172"/>
      <c r="BL12" s="1172"/>
      <c r="BM12" s="1172"/>
      <c r="BN12" s="1172"/>
      <c r="BO12" s="1172"/>
      <c r="BP12" s="1172"/>
      <c r="BQ12" s="1172"/>
      <c r="BR12" s="1172"/>
      <c r="BS12" s="1172"/>
      <c r="BT12" s="1172"/>
      <c r="BU12" s="1172"/>
      <c r="BV12" s="1172"/>
      <c r="BW12" s="1172"/>
      <c r="BX12" s="1172"/>
      <c r="BY12" s="1172"/>
      <c r="BZ12" s="1172"/>
      <c r="CA12" s="1172"/>
    </row>
    <row r="13" spans="1:79" x14ac:dyDescent="0.25">
      <c r="A13" s="1172"/>
      <c r="B13" s="1183"/>
      <c r="C13" s="1176"/>
      <c r="D13" s="1176"/>
      <c r="E13" s="1219"/>
      <c r="F13" s="1219"/>
      <c r="G13" s="1219"/>
      <c r="H13" s="1219"/>
      <c r="I13" s="1219"/>
      <c r="J13" s="1219"/>
      <c r="K13" s="1219"/>
      <c r="L13" s="1219"/>
      <c r="M13" s="1219"/>
      <c r="N13" s="1219"/>
      <c r="O13" s="1219"/>
      <c r="P13" s="1219"/>
      <c r="Q13" s="1219"/>
      <c r="R13" s="1219"/>
      <c r="S13" s="1219"/>
      <c r="T13" s="1219"/>
      <c r="U13" s="1219"/>
      <c r="V13" s="1219"/>
      <c r="W13" s="1172"/>
      <c r="X13" s="1172"/>
      <c r="Y13" s="1172"/>
      <c r="Z13" s="1172"/>
      <c r="AA13" s="1172"/>
      <c r="AB13" s="1172"/>
      <c r="AC13" s="1172"/>
      <c r="AD13" s="1172"/>
      <c r="AE13" s="1172"/>
      <c r="AF13" s="1172"/>
      <c r="AG13" s="1172"/>
      <c r="AH13" s="1172"/>
      <c r="AI13" s="1172"/>
      <c r="AJ13" s="1172"/>
      <c r="AK13" s="1172"/>
      <c r="AL13" s="1172"/>
      <c r="AM13" s="1172"/>
      <c r="AN13" s="1172"/>
      <c r="AO13" s="1172"/>
      <c r="AP13" s="1172"/>
      <c r="AQ13" s="1172"/>
      <c r="AR13" s="1172"/>
      <c r="AS13" s="1172"/>
      <c r="AT13" s="1172"/>
      <c r="AU13" s="1172"/>
      <c r="AV13" s="1172"/>
      <c r="AW13" s="1172"/>
      <c r="AX13" s="1172"/>
      <c r="AY13" s="1172"/>
      <c r="AZ13" s="1172"/>
      <c r="BA13" s="1172"/>
      <c r="BB13" s="1172"/>
      <c r="BC13" s="1172"/>
      <c r="BD13" s="1172"/>
      <c r="BE13" s="1172"/>
      <c r="BF13" s="1172"/>
      <c r="BG13" s="1172"/>
      <c r="BH13" s="1172"/>
      <c r="BI13" s="1172"/>
      <c r="BJ13" s="1172"/>
      <c r="BK13" s="1172"/>
      <c r="BL13" s="1172"/>
      <c r="BM13" s="1172"/>
      <c r="BN13" s="1172"/>
      <c r="BO13" s="1172"/>
      <c r="BP13" s="1172"/>
      <c r="BQ13" s="1172"/>
      <c r="BR13" s="1172"/>
      <c r="BS13" s="1172"/>
      <c r="BT13" s="1172"/>
      <c r="BU13" s="1172"/>
      <c r="BV13" s="1172"/>
      <c r="BW13" s="1172"/>
      <c r="BX13" s="1172"/>
      <c r="BY13" s="1172"/>
      <c r="BZ13" s="1172"/>
      <c r="CA13" s="1172"/>
    </row>
    <row r="14" spans="1:79" x14ac:dyDescent="0.25">
      <c r="A14" s="1174" t="s">
        <v>602</v>
      </c>
      <c r="B14" s="1183"/>
      <c r="C14" s="1176"/>
      <c r="D14" s="1176"/>
      <c r="E14" s="1219">
        <v>860</v>
      </c>
      <c r="F14" s="1219">
        <v>420</v>
      </c>
      <c r="G14" s="1219"/>
      <c r="H14" s="1219">
        <v>2640</v>
      </c>
      <c r="I14" s="1219">
        <v>2940</v>
      </c>
      <c r="J14" s="1219"/>
      <c r="K14" s="1219">
        <v>5330</v>
      </c>
      <c r="L14" s="1219">
        <v>6940</v>
      </c>
      <c r="M14" s="1219"/>
      <c r="N14" s="1219">
        <v>800</v>
      </c>
      <c r="O14" s="1219">
        <v>710</v>
      </c>
      <c r="P14" s="1219"/>
      <c r="Q14" s="1219">
        <v>2280</v>
      </c>
      <c r="R14" s="1219">
        <v>2540</v>
      </c>
      <c r="S14" s="1219">
        <v>860</v>
      </c>
      <c r="T14" s="1219"/>
      <c r="U14" s="1219">
        <v>1960</v>
      </c>
      <c r="V14" s="1219">
        <v>1010</v>
      </c>
      <c r="W14" s="1172"/>
      <c r="X14" s="1172"/>
      <c r="Y14" s="1172"/>
      <c r="Z14" s="1172"/>
      <c r="AA14" s="1172"/>
      <c r="AB14" s="1172"/>
      <c r="AC14" s="1172"/>
      <c r="AD14" s="1172"/>
      <c r="AE14" s="1172"/>
      <c r="AF14" s="1172"/>
      <c r="AG14" s="1172"/>
      <c r="AH14" s="1172"/>
      <c r="AI14" s="1172"/>
      <c r="AJ14" s="1172"/>
      <c r="AK14" s="1172"/>
      <c r="AL14" s="1172"/>
      <c r="AM14" s="1172"/>
      <c r="AN14" s="1172"/>
      <c r="AO14" s="1172"/>
      <c r="AP14" s="1172"/>
      <c r="AQ14" s="1172"/>
      <c r="AR14" s="1172"/>
      <c r="AS14" s="1172"/>
      <c r="AT14" s="1172"/>
      <c r="AU14" s="1172"/>
      <c r="AV14" s="1172"/>
      <c r="AW14" s="1172"/>
      <c r="AX14" s="1172"/>
      <c r="AY14" s="1172"/>
      <c r="AZ14" s="1172"/>
      <c r="BA14" s="1172"/>
      <c r="BB14" s="1172"/>
      <c r="BC14" s="1172"/>
      <c r="BD14" s="1172"/>
      <c r="BE14" s="1172"/>
      <c r="BF14" s="1172"/>
      <c r="BG14" s="1172"/>
      <c r="BH14" s="1172"/>
      <c r="BI14" s="1172"/>
      <c r="BJ14" s="1172"/>
      <c r="BK14" s="1172"/>
      <c r="BL14" s="1172"/>
      <c r="BM14" s="1172"/>
      <c r="BN14" s="1172"/>
      <c r="BO14" s="1172"/>
      <c r="BP14" s="1172"/>
      <c r="BQ14" s="1172"/>
      <c r="BR14" s="1172"/>
      <c r="BS14" s="1172"/>
      <c r="BT14" s="1172"/>
      <c r="BU14" s="1172"/>
      <c r="BV14" s="1172"/>
      <c r="BW14" s="1172"/>
      <c r="BX14" s="1172"/>
      <c r="BY14" s="1172"/>
      <c r="BZ14" s="1172"/>
      <c r="CA14" s="1172"/>
    </row>
    <row r="15" spans="1:79" x14ac:dyDescent="0.25">
      <c r="A15" s="1202" t="s">
        <v>603</v>
      </c>
      <c r="B15" s="1184"/>
      <c r="C15" s="1203"/>
      <c r="D15" s="1203"/>
      <c r="E15" s="1219">
        <v>130</v>
      </c>
      <c r="F15" s="1219">
        <v>70</v>
      </c>
      <c r="G15" s="1219"/>
      <c r="H15" s="1219">
        <v>420</v>
      </c>
      <c r="I15" s="1219">
        <v>570</v>
      </c>
      <c r="J15" s="1219"/>
      <c r="K15" s="1219">
        <v>740</v>
      </c>
      <c r="L15" s="1219">
        <v>1070</v>
      </c>
      <c r="M15" s="1219"/>
      <c r="N15" s="1219">
        <v>110</v>
      </c>
      <c r="O15" s="1219">
        <v>100</v>
      </c>
      <c r="P15" s="1219"/>
      <c r="Q15" s="1219">
        <v>330</v>
      </c>
      <c r="R15" s="1219">
        <v>370</v>
      </c>
      <c r="S15" s="1219">
        <v>140</v>
      </c>
      <c r="T15" s="1219"/>
      <c r="U15" s="1219">
        <v>290</v>
      </c>
      <c r="V15" s="1219">
        <v>140</v>
      </c>
      <c r="W15" s="1208"/>
      <c r="X15" s="1208"/>
      <c r="Y15" s="1208"/>
      <c r="Z15" s="1208"/>
      <c r="AA15" s="1208"/>
      <c r="AB15" s="1208"/>
      <c r="AC15" s="1208"/>
      <c r="AD15" s="1208"/>
      <c r="AE15" s="1208"/>
      <c r="AF15" s="1208"/>
      <c r="AG15" s="1208"/>
      <c r="AH15" s="1208"/>
      <c r="AI15" s="1208"/>
      <c r="AJ15" s="1208"/>
      <c r="AK15" s="1208"/>
      <c r="AL15" s="1208"/>
      <c r="AM15" s="1208"/>
      <c r="AN15" s="1208"/>
      <c r="AO15" s="1208"/>
      <c r="AP15" s="1208"/>
      <c r="AQ15" s="1208"/>
      <c r="AR15" s="1208"/>
      <c r="AS15" s="1208"/>
      <c r="AT15" s="1208"/>
      <c r="AU15" s="1208"/>
      <c r="AV15" s="1208"/>
      <c r="AW15" s="1208"/>
      <c r="AX15" s="1208"/>
      <c r="AY15" s="1208"/>
      <c r="AZ15" s="1208"/>
      <c r="BA15" s="1208"/>
      <c r="BB15" s="1208"/>
      <c r="BC15" s="1208"/>
      <c r="BD15" s="1208"/>
      <c r="BE15" s="1208"/>
      <c r="BF15" s="1208"/>
      <c r="BG15" s="1208"/>
      <c r="BH15" s="1208"/>
      <c r="BI15" s="1208"/>
      <c r="BJ15" s="1208"/>
      <c r="BK15" s="1208"/>
      <c r="BL15" s="1208"/>
      <c r="BM15" s="1208"/>
      <c r="BN15" s="1208"/>
      <c r="BO15" s="1208"/>
      <c r="BP15" s="1208"/>
      <c r="BQ15" s="1208"/>
      <c r="BR15" s="1208"/>
      <c r="BS15" s="1208"/>
      <c r="BT15" s="1208"/>
      <c r="BU15" s="1208"/>
      <c r="BV15" s="1208"/>
      <c r="BW15" s="1208"/>
      <c r="BX15" s="1208"/>
      <c r="BY15" s="1208"/>
      <c r="BZ15" s="1208"/>
      <c r="CA15" s="1208"/>
    </row>
    <row r="16" spans="1:79" x14ac:dyDescent="0.25">
      <c r="A16" s="1202" t="s">
        <v>604</v>
      </c>
      <c r="B16" s="1184"/>
      <c r="C16" s="1203"/>
      <c r="D16" s="1203"/>
      <c r="E16" s="1219">
        <v>130</v>
      </c>
      <c r="F16" s="1219">
        <v>150</v>
      </c>
      <c r="G16" s="1219"/>
      <c r="H16" s="1219">
        <v>420</v>
      </c>
      <c r="I16" s="1219">
        <v>1130</v>
      </c>
      <c r="J16" s="1219"/>
      <c r="K16" s="1219">
        <v>740</v>
      </c>
      <c r="L16" s="1219">
        <v>2130</v>
      </c>
      <c r="M16" s="1219"/>
      <c r="N16" s="1219">
        <v>220</v>
      </c>
      <c r="O16" s="1219">
        <v>330</v>
      </c>
      <c r="P16" s="1219"/>
      <c r="Q16" s="1219">
        <v>980</v>
      </c>
      <c r="R16" s="1219">
        <v>1500</v>
      </c>
      <c r="S16" s="1219">
        <v>730</v>
      </c>
      <c r="T16" s="1219"/>
      <c r="U16" s="1219">
        <v>950</v>
      </c>
      <c r="V16" s="1219">
        <v>670</v>
      </c>
      <c r="W16" s="1208"/>
      <c r="X16" s="1208"/>
      <c r="Y16" s="1208"/>
      <c r="Z16" s="1208"/>
      <c r="AA16" s="1208"/>
      <c r="AB16" s="1208"/>
      <c r="AC16" s="1208"/>
      <c r="AD16" s="1208"/>
      <c r="AE16" s="1208"/>
      <c r="AF16" s="1208"/>
      <c r="AG16" s="1208"/>
      <c r="AH16" s="1208"/>
      <c r="AI16" s="1208"/>
      <c r="AJ16" s="1208"/>
      <c r="AK16" s="1208"/>
      <c r="AL16" s="1208"/>
      <c r="AM16" s="1208"/>
      <c r="AN16" s="1208"/>
      <c r="AO16" s="1208"/>
      <c r="AP16" s="1208"/>
      <c r="AQ16" s="1208"/>
      <c r="AR16" s="1208"/>
      <c r="AS16" s="1208"/>
      <c r="AT16" s="1208"/>
      <c r="AU16" s="1208"/>
      <c r="AV16" s="1208"/>
      <c r="AW16" s="1208"/>
      <c r="AX16" s="1208"/>
      <c r="AY16" s="1208"/>
      <c r="AZ16" s="1208"/>
      <c r="BA16" s="1208"/>
      <c r="BB16" s="1208"/>
      <c r="BC16" s="1208"/>
      <c r="BD16" s="1208"/>
      <c r="BE16" s="1208"/>
      <c r="BF16" s="1208"/>
      <c r="BG16" s="1208"/>
      <c r="BH16" s="1208"/>
      <c r="BI16" s="1208"/>
      <c r="BJ16" s="1208"/>
      <c r="BK16" s="1208"/>
      <c r="BL16" s="1208"/>
      <c r="BM16" s="1208"/>
      <c r="BN16" s="1208"/>
      <c r="BO16" s="1208"/>
      <c r="BP16" s="1208"/>
      <c r="BQ16" s="1208"/>
      <c r="BR16" s="1208"/>
      <c r="BS16" s="1208"/>
      <c r="BT16" s="1208"/>
      <c r="BU16" s="1208"/>
      <c r="BV16" s="1208"/>
      <c r="BW16" s="1208"/>
      <c r="BX16" s="1208"/>
      <c r="BY16" s="1208"/>
      <c r="BZ16" s="1208"/>
      <c r="CA16" s="1208"/>
    </row>
    <row r="17" spans="1:79" x14ac:dyDescent="0.25">
      <c r="A17" s="1202" t="s">
        <v>605</v>
      </c>
      <c r="B17" s="1184"/>
      <c r="C17" s="1203"/>
      <c r="D17" s="1203"/>
      <c r="E17" s="1219">
        <v>130</v>
      </c>
      <c r="F17" s="1219">
        <v>150</v>
      </c>
      <c r="G17" s="1219"/>
      <c r="H17" s="1219">
        <v>420</v>
      </c>
      <c r="I17" s="1219">
        <v>1130</v>
      </c>
      <c r="J17" s="1219"/>
      <c r="K17" s="1219">
        <v>740</v>
      </c>
      <c r="L17" s="1219">
        <v>2130</v>
      </c>
      <c r="M17" s="1219"/>
      <c r="N17" s="1219">
        <v>110</v>
      </c>
      <c r="O17" s="1219">
        <v>100</v>
      </c>
      <c r="P17" s="1219"/>
      <c r="Q17" s="1219">
        <v>650</v>
      </c>
      <c r="R17" s="1219">
        <v>750</v>
      </c>
      <c r="S17" s="1219">
        <v>270</v>
      </c>
      <c r="T17" s="1219"/>
      <c r="U17" s="1219">
        <v>950</v>
      </c>
      <c r="V17" s="1219">
        <v>460</v>
      </c>
      <c r="W17" s="1208"/>
      <c r="X17" s="1208"/>
      <c r="Y17" s="1208"/>
      <c r="Z17" s="1208"/>
      <c r="AA17" s="1208"/>
      <c r="AB17" s="1208"/>
      <c r="AC17" s="1208"/>
      <c r="AD17" s="1208"/>
      <c r="AE17" s="1208"/>
      <c r="AF17" s="1208"/>
      <c r="AG17" s="1208"/>
      <c r="AH17" s="1208"/>
      <c r="AI17" s="1208"/>
      <c r="AJ17" s="1208"/>
      <c r="AK17" s="1208"/>
      <c r="AL17" s="1208"/>
      <c r="AM17" s="1208"/>
      <c r="AN17" s="1208"/>
      <c r="AO17" s="1208"/>
      <c r="AP17" s="1208"/>
      <c r="AQ17" s="1208"/>
      <c r="AR17" s="1208"/>
      <c r="AS17" s="1208"/>
      <c r="AT17" s="1208"/>
      <c r="AU17" s="1208"/>
      <c r="AV17" s="1208"/>
      <c r="AW17" s="1208"/>
      <c r="AX17" s="1208"/>
      <c r="AY17" s="1208"/>
      <c r="AZ17" s="1208"/>
      <c r="BA17" s="1208"/>
      <c r="BB17" s="1208"/>
      <c r="BC17" s="1208"/>
      <c r="BD17" s="1208"/>
      <c r="BE17" s="1208"/>
      <c r="BF17" s="1208"/>
      <c r="BG17" s="1208"/>
      <c r="BH17" s="1208"/>
      <c r="BI17" s="1208"/>
      <c r="BJ17" s="1208"/>
      <c r="BK17" s="1208"/>
      <c r="BL17" s="1208"/>
      <c r="BM17" s="1208"/>
      <c r="BN17" s="1208"/>
      <c r="BO17" s="1208"/>
      <c r="BP17" s="1208"/>
      <c r="BQ17" s="1208"/>
      <c r="BR17" s="1208"/>
      <c r="BS17" s="1208"/>
      <c r="BT17" s="1208"/>
      <c r="BU17" s="1208"/>
      <c r="BV17" s="1208"/>
      <c r="BW17" s="1208"/>
      <c r="BX17" s="1208"/>
      <c r="BY17" s="1208"/>
      <c r="BZ17" s="1208"/>
      <c r="CA17" s="1208"/>
    </row>
    <row r="18" spans="1:79" x14ac:dyDescent="0.25">
      <c r="A18" s="1172"/>
      <c r="B18" s="1183"/>
      <c r="C18" s="1176"/>
      <c r="D18" s="1176"/>
      <c r="E18" s="1220"/>
      <c r="F18" s="1220"/>
      <c r="G18" s="1220"/>
      <c r="H18" s="1220"/>
      <c r="I18" s="1220"/>
      <c r="J18" s="1220"/>
      <c r="K18" s="1267"/>
      <c r="L18" s="1267"/>
      <c r="M18" s="1267"/>
      <c r="N18" s="1220"/>
      <c r="O18" s="1220"/>
      <c r="P18" s="1220"/>
      <c r="Q18" s="1267"/>
      <c r="R18" s="1220"/>
      <c r="S18" s="1220"/>
      <c r="T18" s="1220"/>
      <c r="U18" s="1220"/>
      <c r="V18" s="1220"/>
      <c r="W18" s="1172"/>
      <c r="X18" s="1172"/>
      <c r="Y18" s="1172"/>
      <c r="Z18" s="1172"/>
      <c r="AA18" s="1172"/>
      <c r="AB18" s="1172"/>
      <c r="AC18" s="1172"/>
      <c r="AD18" s="1172"/>
      <c r="AE18" s="1172"/>
      <c r="AF18" s="1172"/>
      <c r="AG18" s="1172"/>
      <c r="AH18" s="1172"/>
      <c r="AI18" s="1172"/>
      <c r="AJ18" s="1172"/>
      <c r="AK18" s="1172"/>
      <c r="AL18" s="1172"/>
      <c r="AM18" s="1172"/>
      <c r="AN18" s="1172"/>
      <c r="AO18" s="1172"/>
      <c r="AP18" s="1172"/>
      <c r="AQ18" s="1172"/>
      <c r="AR18" s="1172"/>
      <c r="AS18" s="1172"/>
      <c r="AT18" s="1172"/>
      <c r="AU18" s="1172"/>
      <c r="AV18" s="1172"/>
      <c r="AW18" s="1172"/>
      <c r="AX18" s="1172"/>
      <c r="AY18" s="1172"/>
      <c r="AZ18" s="1172"/>
      <c r="BA18" s="1172"/>
      <c r="BB18" s="1172"/>
      <c r="BC18" s="1172"/>
      <c r="BD18" s="1172"/>
      <c r="BE18" s="1172"/>
      <c r="BF18" s="1172"/>
      <c r="BG18" s="1172"/>
      <c r="BH18" s="1172"/>
      <c r="BI18" s="1172"/>
      <c r="BJ18" s="1172"/>
      <c r="BK18" s="1172"/>
      <c r="BL18" s="1172"/>
      <c r="BM18" s="1172"/>
      <c r="BN18" s="1172"/>
      <c r="BO18" s="1172"/>
      <c r="BP18" s="1172"/>
      <c r="BQ18" s="1172"/>
      <c r="BR18" s="1172"/>
      <c r="BS18" s="1172"/>
      <c r="BT18" s="1172"/>
      <c r="BU18" s="1172"/>
      <c r="BV18" s="1172"/>
      <c r="BW18" s="1172"/>
      <c r="BX18" s="1172"/>
      <c r="BY18" s="1172"/>
      <c r="BZ18" s="1172"/>
      <c r="CA18" s="1172"/>
    </row>
    <row r="19" spans="1:79" x14ac:dyDescent="0.25">
      <c r="A19" s="1257" t="s">
        <v>606</v>
      </c>
      <c r="B19" s="1258"/>
      <c r="C19" s="1259"/>
      <c r="D19" s="1259"/>
      <c r="E19" s="1267">
        <v>1</v>
      </c>
      <c r="F19" s="1267">
        <v>2</v>
      </c>
      <c r="G19" s="1267"/>
      <c r="H19" s="1267">
        <v>1</v>
      </c>
      <c r="I19" s="1267">
        <v>2</v>
      </c>
      <c r="J19" s="1267"/>
      <c r="K19" s="1267">
        <v>1</v>
      </c>
      <c r="L19" s="1267">
        <v>2</v>
      </c>
      <c r="M19" s="1267"/>
      <c r="N19" s="1267">
        <v>2</v>
      </c>
      <c r="O19" s="1267">
        <v>3.3</v>
      </c>
      <c r="P19" s="1267"/>
      <c r="Q19" s="1267">
        <v>3</v>
      </c>
      <c r="R19" s="1267">
        <v>4</v>
      </c>
      <c r="S19" s="1267">
        <v>5.4</v>
      </c>
      <c r="T19" s="1267"/>
      <c r="U19" s="1267">
        <v>3.4</v>
      </c>
      <c r="V19" s="1267">
        <v>5</v>
      </c>
      <c r="W19" s="1208"/>
      <c r="X19" s="1208"/>
      <c r="Y19" s="1208"/>
      <c r="Z19" s="1208"/>
      <c r="AA19" s="1208"/>
      <c r="AB19" s="1208"/>
      <c r="AC19" s="1208"/>
      <c r="AD19" s="1208"/>
      <c r="AE19" s="1208"/>
      <c r="AF19" s="1208"/>
      <c r="AG19" s="1208"/>
      <c r="AH19" s="1208"/>
      <c r="AI19" s="1208"/>
      <c r="AJ19" s="1208"/>
      <c r="AK19" s="1208"/>
      <c r="AL19" s="1208"/>
      <c r="AM19" s="1208"/>
      <c r="AN19" s="1208"/>
      <c r="AO19" s="1208"/>
      <c r="AP19" s="1208"/>
      <c r="AQ19" s="1208"/>
      <c r="AR19" s="1208"/>
      <c r="AS19" s="1208"/>
      <c r="AT19" s="1208"/>
      <c r="AU19" s="1208"/>
      <c r="AV19" s="1208"/>
      <c r="AW19" s="1208"/>
      <c r="AX19" s="1208"/>
      <c r="AY19" s="1208"/>
      <c r="AZ19" s="1208"/>
      <c r="BA19" s="1208"/>
      <c r="BB19" s="1208"/>
      <c r="BC19" s="1208"/>
      <c r="BD19" s="1208"/>
      <c r="BE19" s="1208"/>
      <c r="BF19" s="1208"/>
      <c r="BG19" s="1208"/>
      <c r="BH19" s="1208"/>
      <c r="BI19" s="1208"/>
      <c r="BJ19" s="1208"/>
      <c r="BK19" s="1208"/>
      <c r="BL19" s="1208"/>
      <c r="BM19" s="1208"/>
      <c r="BN19" s="1208"/>
      <c r="BO19" s="1208"/>
      <c r="BP19" s="1208"/>
      <c r="BQ19" s="1208"/>
      <c r="BR19" s="1208"/>
      <c r="BS19" s="1208"/>
      <c r="BT19" s="1208"/>
      <c r="BU19" s="1208"/>
      <c r="BV19" s="1208"/>
      <c r="BW19" s="1208"/>
      <c r="BX19" s="1208"/>
      <c r="BY19" s="1208"/>
      <c r="BZ19" s="1208"/>
      <c r="CA19" s="1208"/>
    </row>
    <row r="20" spans="1:79" x14ac:dyDescent="0.25">
      <c r="A20" s="1276"/>
      <c r="B20" s="1276"/>
      <c r="C20" s="1277"/>
      <c r="D20" s="1277"/>
      <c r="E20" s="1278"/>
      <c r="F20" s="1278"/>
      <c r="G20" s="1278"/>
      <c r="H20" s="1278"/>
      <c r="I20" s="1278"/>
      <c r="J20" s="1278"/>
      <c r="K20" s="1278"/>
      <c r="L20" s="1278"/>
      <c r="M20" s="1278"/>
      <c r="N20" s="1278"/>
      <c r="O20" s="1278"/>
      <c r="P20" s="1278"/>
      <c r="Q20" s="1278"/>
      <c r="R20" s="1278"/>
      <c r="S20" s="1278"/>
      <c r="T20" s="1278"/>
      <c r="U20" s="1278"/>
      <c r="V20" s="1278"/>
      <c r="W20" s="1172"/>
      <c r="X20" s="1172"/>
      <c r="Y20" s="1172"/>
      <c r="Z20" s="1172"/>
      <c r="AA20" s="1172"/>
      <c r="AB20" s="1172"/>
      <c r="AC20" s="1172"/>
      <c r="AD20" s="1172"/>
      <c r="AE20" s="1172"/>
      <c r="AF20" s="1172"/>
      <c r="AG20" s="1172"/>
      <c r="AH20" s="1172"/>
      <c r="AI20" s="1172"/>
      <c r="AJ20" s="1172"/>
      <c r="AK20" s="1172"/>
      <c r="AL20" s="1172"/>
      <c r="AM20" s="1172"/>
      <c r="AN20" s="1172"/>
      <c r="AO20" s="1172"/>
      <c r="AP20" s="1172"/>
      <c r="AQ20" s="1172"/>
      <c r="AR20" s="1172"/>
      <c r="AS20" s="1172"/>
      <c r="AT20" s="1172"/>
      <c r="AU20" s="1172"/>
      <c r="AV20" s="1172"/>
      <c r="AW20" s="1172"/>
      <c r="AX20" s="1172"/>
      <c r="AY20" s="1172"/>
      <c r="AZ20" s="1172"/>
      <c r="BA20" s="1172"/>
      <c r="BB20" s="1172"/>
      <c r="BC20" s="1172"/>
      <c r="BD20" s="1172"/>
      <c r="BE20" s="1172"/>
      <c r="BF20" s="1172"/>
      <c r="BG20" s="1172"/>
      <c r="BH20" s="1172"/>
      <c r="BI20" s="1172"/>
      <c r="BJ20" s="1172"/>
      <c r="BK20" s="1172"/>
      <c r="BL20" s="1172"/>
      <c r="BM20" s="1172"/>
      <c r="BN20" s="1172"/>
      <c r="BO20" s="1172"/>
      <c r="BP20" s="1172"/>
      <c r="BQ20" s="1172"/>
      <c r="BR20" s="1172"/>
      <c r="BS20" s="1172"/>
      <c r="BT20" s="1172"/>
      <c r="BU20" s="1172"/>
      <c r="BV20" s="1172"/>
      <c r="BW20" s="1172"/>
      <c r="BX20" s="1172"/>
      <c r="BY20" s="1172"/>
      <c r="BZ20" s="1172"/>
      <c r="CA20" s="1172"/>
    </row>
    <row r="21" spans="1:79" x14ac:dyDescent="0.25">
      <c r="A21" s="1172"/>
      <c r="B21" s="1183"/>
      <c r="C21" s="1176"/>
      <c r="D21" s="1176"/>
      <c r="E21" s="1220"/>
      <c r="F21" s="1220"/>
      <c r="G21" s="1220"/>
      <c r="H21" s="1220"/>
      <c r="I21" s="1220"/>
      <c r="J21" s="1220"/>
      <c r="K21" s="1220"/>
      <c r="L21" s="1220"/>
      <c r="M21" s="1220"/>
      <c r="N21" s="1220"/>
      <c r="O21" s="1220"/>
      <c r="P21" s="1220"/>
      <c r="Q21" s="1220"/>
      <c r="R21" s="1220"/>
      <c r="S21" s="1220"/>
      <c r="T21" s="1220"/>
      <c r="U21" s="1220"/>
      <c r="V21" s="1220"/>
      <c r="W21" s="1172"/>
      <c r="X21" s="1172"/>
      <c r="Y21" s="1172"/>
      <c r="Z21" s="1172"/>
      <c r="AA21" s="1172"/>
      <c r="AB21" s="1172"/>
      <c r="AC21" s="1172"/>
      <c r="AD21" s="1172"/>
      <c r="AE21" s="1172"/>
      <c r="AF21" s="1172"/>
      <c r="AG21" s="1172"/>
      <c r="AH21" s="1172"/>
      <c r="AI21" s="1172"/>
      <c r="AJ21" s="1172"/>
      <c r="AK21" s="1172"/>
      <c r="AL21" s="1172"/>
      <c r="AM21" s="1172"/>
      <c r="AN21" s="1172"/>
      <c r="AO21" s="1172"/>
      <c r="AP21" s="1172"/>
      <c r="AQ21" s="1172"/>
      <c r="AR21" s="1172"/>
      <c r="AS21" s="1172"/>
      <c r="AT21" s="1172"/>
      <c r="AU21" s="1172"/>
      <c r="AV21" s="1172"/>
      <c r="AW21" s="1172"/>
      <c r="AX21" s="1172"/>
      <c r="AY21" s="1172"/>
      <c r="AZ21" s="1172"/>
      <c r="BA21" s="1172"/>
      <c r="BB21" s="1172"/>
      <c r="BC21" s="1172"/>
      <c r="BD21" s="1172"/>
      <c r="BE21" s="1172"/>
      <c r="BF21" s="1172"/>
      <c r="BG21" s="1172"/>
      <c r="BH21" s="1172"/>
      <c r="BI21" s="1172"/>
      <c r="BJ21" s="1172"/>
      <c r="BK21" s="1172"/>
      <c r="BL21" s="1172"/>
      <c r="BM21" s="1172"/>
      <c r="BN21" s="1172"/>
      <c r="BO21" s="1172"/>
      <c r="BP21" s="1172"/>
      <c r="BQ21" s="1172"/>
      <c r="BR21" s="1172"/>
      <c r="BS21" s="1172"/>
      <c r="BT21" s="1172"/>
      <c r="BU21" s="1172"/>
      <c r="BV21" s="1172"/>
      <c r="BW21" s="1172"/>
      <c r="BX21" s="1172"/>
      <c r="BY21" s="1172"/>
      <c r="BZ21" s="1172"/>
      <c r="CA21" s="1172"/>
    </row>
    <row r="22" spans="1:79" x14ac:dyDescent="0.25">
      <c r="A22" s="1186" t="s">
        <v>607</v>
      </c>
      <c r="B22" s="1185"/>
      <c r="C22" s="1187"/>
      <c r="D22" s="1187"/>
      <c r="E22" s="1255"/>
      <c r="F22" s="1770" t="s">
        <v>608</v>
      </c>
      <c r="G22" s="1771"/>
      <c r="H22" s="1771"/>
      <c r="I22" s="1771"/>
      <c r="J22" s="1771"/>
      <c r="K22" s="1771"/>
      <c r="L22" s="1771"/>
      <c r="M22" s="1771"/>
      <c r="N22" s="1771"/>
      <c r="O22" s="1771"/>
      <c r="P22" s="1771"/>
      <c r="Q22" s="1771"/>
      <c r="R22" s="1771"/>
      <c r="S22" s="1771"/>
      <c r="T22" s="1771"/>
      <c r="U22" s="1771"/>
      <c r="V22" s="1244"/>
      <c r="W22" s="1217"/>
      <c r="X22" s="1217"/>
      <c r="Y22" s="1217"/>
      <c r="Z22" s="1217"/>
      <c r="AA22" s="1217"/>
      <c r="AB22" s="1217"/>
      <c r="AC22" s="1217"/>
      <c r="AD22" s="1217"/>
      <c r="AE22" s="1217"/>
      <c r="AF22" s="1217"/>
      <c r="AG22" s="1217"/>
      <c r="AH22" s="1217"/>
      <c r="AI22" s="1217"/>
      <c r="AJ22" s="1217"/>
      <c r="AK22" s="1217"/>
      <c r="AL22" s="1217"/>
      <c r="AM22" s="1217"/>
      <c r="AN22" s="1217"/>
      <c r="AO22" s="1217"/>
      <c r="AP22" s="1217"/>
      <c r="AQ22" s="1217"/>
      <c r="AR22" s="1217"/>
      <c r="AS22" s="1217"/>
      <c r="AT22" s="1217"/>
      <c r="AU22" s="1217"/>
      <c r="AV22" s="1217"/>
      <c r="AW22" s="1217"/>
      <c r="AX22" s="1217"/>
      <c r="AY22" s="1217"/>
      <c r="AZ22" s="1217"/>
      <c r="BA22" s="1217"/>
      <c r="BB22" s="1217"/>
      <c r="BC22" s="1217"/>
      <c r="BD22" s="1217"/>
      <c r="BE22" s="1217"/>
      <c r="BF22" s="1217"/>
      <c r="BG22" s="1217"/>
      <c r="BH22" s="1217"/>
      <c r="BI22" s="1217"/>
      <c r="BJ22" s="1217"/>
      <c r="BK22" s="1217"/>
      <c r="BL22" s="1217"/>
      <c r="BM22" s="1217"/>
      <c r="BN22" s="1217"/>
      <c r="BO22" s="1217"/>
      <c r="BP22" s="1217"/>
      <c r="BQ22" s="1217"/>
      <c r="BR22" s="1217"/>
      <c r="BS22" s="1217"/>
      <c r="BT22" s="1217"/>
      <c r="BU22" s="1217"/>
      <c r="BV22" s="1217"/>
      <c r="BW22" s="1217"/>
      <c r="BX22" s="1217"/>
      <c r="BY22" s="1217"/>
      <c r="BZ22" s="1217"/>
      <c r="CA22" s="1217"/>
    </row>
    <row r="23" spans="1:79" x14ac:dyDescent="0.25">
      <c r="A23" s="1276"/>
      <c r="B23" s="1277"/>
      <c r="C23" s="1277"/>
      <c r="D23" s="1277"/>
      <c r="E23" s="1278"/>
      <c r="F23" s="1278"/>
      <c r="G23" s="1278"/>
      <c r="H23" s="1278"/>
      <c r="I23" s="1278"/>
      <c r="J23" s="1278"/>
      <c r="K23" s="1278"/>
      <c r="L23" s="1278"/>
      <c r="M23" s="1278"/>
      <c r="N23" s="1278"/>
      <c r="O23" s="1278"/>
      <c r="P23" s="1278"/>
      <c r="Q23" s="1278"/>
      <c r="R23" s="1278"/>
      <c r="S23" s="1278"/>
      <c r="T23" s="1278"/>
      <c r="U23" s="1278"/>
      <c r="V23" s="1278"/>
      <c r="W23" s="1208"/>
      <c r="X23" s="1208"/>
      <c r="Y23" s="1208"/>
      <c r="Z23" s="1208"/>
      <c r="AA23" s="1208"/>
      <c r="AB23" s="1208"/>
      <c r="AC23" s="1208"/>
      <c r="AD23" s="1208"/>
      <c r="AE23" s="1208"/>
      <c r="AF23" s="1208"/>
      <c r="AG23" s="1208"/>
      <c r="AH23" s="1208"/>
      <c r="AI23" s="1208"/>
      <c r="AJ23" s="1208"/>
      <c r="AK23" s="1208"/>
      <c r="AL23" s="1208"/>
      <c r="AM23" s="1208"/>
      <c r="AN23" s="1208"/>
      <c r="AO23" s="1208"/>
      <c r="AP23" s="1208"/>
      <c r="AQ23" s="1208"/>
      <c r="AR23" s="1208"/>
      <c r="AS23" s="1208"/>
      <c r="AT23" s="1208"/>
      <c r="AU23" s="1208"/>
      <c r="AV23" s="1208"/>
      <c r="AW23" s="1208"/>
      <c r="AX23" s="1208"/>
      <c r="AY23" s="1208"/>
      <c r="AZ23" s="1208"/>
      <c r="BA23" s="1208"/>
      <c r="BB23" s="1208"/>
      <c r="BC23" s="1208"/>
      <c r="BD23" s="1208"/>
      <c r="BE23" s="1208"/>
      <c r="BF23" s="1208"/>
      <c r="BG23" s="1208"/>
      <c r="BH23" s="1208"/>
      <c r="BI23" s="1208"/>
      <c r="BJ23" s="1208"/>
      <c r="BK23" s="1208"/>
      <c r="BL23" s="1208"/>
      <c r="BM23" s="1208"/>
      <c r="BN23" s="1208"/>
      <c r="BO23" s="1208"/>
      <c r="BP23" s="1208"/>
      <c r="BQ23" s="1208"/>
      <c r="BR23" s="1208"/>
      <c r="BS23" s="1208"/>
      <c r="BT23" s="1208"/>
      <c r="BU23" s="1208"/>
      <c r="BV23" s="1208"/>
      <c r="BW23" s="1208"/>
      <c r="BX23" s="1208"/>
      <c r="BY23" s="1208"/>
      <c r="BZ23" s="1208"/>
      <c r="CA23" s="1208"/>
    </row>
    <row r="24" spans="1:79" x14ac:dyDescent="0.25">
      <c r="A24" s="1182"/>
      <c r="B24" s="1182"/>
      <c r="C24" s="1188"/>
      <c r="D24" s="1188"/>
      <c r="E24" s="1221"/>
      <c r="F24" s="1221"/>
      <c r="G24" s="1221"/>
      <c r="H24" s="1221"/>
      <c r="I24" s="1221"/>
      <c r="J24" s="1221"/>
      <c r="K24" s="1221"/>
      <c r="L24" s="1221"/>
      <c r="M24" s="1221"/>
      <c r="N24" s="1221"/>
      <c r="O24" s="1221"/>
      <c r="P24" s="1221"/>
      <c r="Q24" s="1221"/>
      <c r="R24" s="1221"/>
      <c r="S24" s="1221"/>
      <c r="T24" s="1221"/>
      <c r="U24" s="1221"/>
      <c r="V24" s="1221"/>
      <c r="W24" s="1208"/>
      <c r="X24" s="1208"/>
      <c r="Y24" s="1208"/>
      <c r="Z24" s="1208"/>
      <c r="AA24" s="1208"/>
      <c r="AB24" s="1208"/>
      <c r="AC24" s="1208"/>
      <c r="AD24" s="1208"/>
      <c r="AE24" s="1208"/>
      <c r="AF24" s="1208"/>
      <c r="AG24" s="1208"/>
      <c r="AH24" s="1208"/>
      <c r="AI24" s="1208"/>
      <c r="AJ24" s="1208"/>
      <c r="AK24" s="1208"/>
      <c r="AL24" s="1208"/>
      <c r="AM24" s="1208"/>
      <c r="AN24" s="1208"/>
      <c r="AO24" s="1208"/>
      <c r="AP24" s="1208"/>
      <c r="AQ24" s="1208"/>
      <c r="AR24" s="1208"/>
      <c r="AS24" s="1208"/>
      <c r="AT24" s="1208"/>
      <c r="AU24" s="1208"/>
      <c r="AV24" s="1208"/>
      <c r="AW24" s="1208"/>
      <c r="AX24" s="1208"/>
      <c r="AY24" s="1208"/>
      <c r="AZ24" s="1208"/>
      <c r="BA24" s="1208"/>
      <c r="BB24" s="1208"/>
      <c r="BC24" s="1208"/>
      <c r="BD24" s="1208"/>
      <c r="BE24" s="1208"/>
      <c r="BF24" s="1208"/>
      <c r="BG24" s="1208"/>
      <c r="BH24" s="1208"/>
      <c r="BI24" s="1208"/>
      <c r="BJ24" s="1208"/>
      <c r="BK24" s="1208"/>
      <c r="BL24" s="1208"/>
      <c r="BM24" s="1208"/>
      <c r="BN24" s="1208"/>
      <c r="BO24" s="1208"/>
      <c r="BP24" s="1208"/>
      <c r="BQ24" s="1208"/>
      <c r="BR24" s="1208"/>
      <c r="BS24" s="1208"/>
      <c r="BT24" s="1208"/>
      <c r="BU24" s="1208"/>
      <c r="BV24" s="1208"/>
      <c r="BW24" s="1208"/>
      <c r="BX24" s="1208"/>
      <c r="BY24" s="1208"/>
      <c r="BZ24" s="1208"/>
      <c r="CA24" s="1208"/>
    </row>
    <row r="25" spans="1:79" x14ac:dyDescent="0.25">
      <c r="A25" s="1211">
        <v>1</v>
      </c>
      <c r="B25" s="1262" t="s">
        <v>510</v>
      </c>
      <c r="C25" s="1263"/>
      <c r="D25" s="1263"/>
      <c r="E25" s="1268">
        <v>36.700000000000003</v>
      </c>
      <c r="F25" s="1268">
        <v>61</v>
      </c>
      <c r="G25" s="1268"/>
      <c r="H25" s="1268">
        <v>38.9</v>
      </c>
      <c r="I25" s="1268">
        <v>69.3</v>
      </c>
      <c r="J25" s="1268"/>
      <c r="K25" s="1268">
        <v>35.299999999999997</v>
      </c>
      <c r="L25" s="1268">
        <v>64.400000000000006</v>
      </c>
      <c r="M25" s="1268"/>
      <c r="N25" s="1268">
        <v>47.5</v>
      </c>
      <c r="O25" s="1268">
        <v>54.4</v>
      </c>
      <c r="P25" s="1268"/>
      <c r="Q25" s="1268">
        <v>77</v>
      </c>
      <c r="R25" s="1268">
        <v>92.8</v>
      </c>
      <c r="S25" s="1268">
        <v>98.6</v>
      </c>
      <c r="T25" s="1268"/>
      <c r="U25" s="1268">
        <v>94.1</v>
      </c>
      <c r="V25" s="1268">
        <v>102.3</v>
      </c>
      <c r="W25" s="1269"/>
      <c r="X25" s="1269"/>
      <c r="Y25" s="1269"/>
      <c r="Z25" s="1269"/>
      <c r="AA25" s="1269"/>
      <c r="AB25" s="1269"/>
      <c r="AC25" s="1269"/>
      <c r="AD25" s="1269"/>
      <c r="AE25" s="1269"/>
      <c r="AF25" s="1269"/>
      <c r="AG25" s="1269"/>
      <c r="AH25" s="1269"/>
      <c r="AI25" s="1269"/>
      <c r="AJ25" s="1269"/>
      <c r="AK25" s="1269"/>
      <c r="AL25" s="1269"/>
      <c r="AM25" s="1269"/>
      <c r="AN25" s="1269"/>
      <c r="AO25" s="1269"/>
      <c r="AP25" s="1269"/>
      <c r="AQ25" s="1269"/>
      <c r="AR25" s="1269"/>
      <c r="AS25" s="1269"/>
      <c r="AT25" s="1269"/>
      <c r="AU25" s="1269"/>
      <c r="AV25" s="1269"/>
      <c r="AW25" s="1269"/>
      <c r="AX25" s="1269"/>
      <c r="AY25" s="1269"/>
      <c r="AZ25" s="1269"/>
      <c r="BA25" s="1269"/>
      <c r="BB25" s="1269"/>
      <c r="BC25" s="1269"/>
      <c r="BD25" s="1269"/>
      <c r="BE25" s="1269"/>
      <c r="BF25" s="1269"/>
      <c r="BG25" s="1269"/>
      <c r="BH25" s="1269"/>
      <c r="BI25" s="1269"/>
      <c r="BJ25" s="1269"/>
      <c r="BK25" s="1269"/>
      <c r="BL25" s="1269"/>
      <c r="BM25" s="1269"/>
      <c r="BN25" s="1269"/>
      <c r="BO25" s="1269"/>
      <c r="BP25" s="1269"/>
      <c r="BQ25" s="1269"/>
      <c r="BR25" s="1269"/>
      <c r="BS25" s="1269"/>
      <c r="BT25" s="1269"/>
      <c r="BU25" s="1269"/>
      <c r="BV25" s="1269"/>
      <c r="BW25" s="1269"/>
      <c r="BX25" s="1269"/>
      <c r="BY25" s="1269"/>
      <c r="BZ25" s="1269"/>
      <c r="CA25" s="1269"/>
    </row>
    <row r="26" spans="1:79" x14ac:dyDescent="0.25">
      <c r="A26" s="1190"/>
      <c r="B26" s="1190"/>
      <c r="C26" s="1191"/>
      <c r="D26" s="1191"/>
      <c r="E26" s="1245"/>
      <c r="F26" s="1245"/>
      <c r="G26" s="1245"/>
      <c r="H26" s="1245"/>
      <c r="I26" s="1245"/>
      <c r="J26" s="1245"/>
      <c r="K26" s="1245"/>
      <c r="L26" s="1245"/>
      <c r="M26" s="1245"/>
      <c r="N26" s="1245"/>
      <c r="O26" s="1245"/>
      <c r="P26" s="1245"/>
      <c r="Q26" s="1245"/>
      <c r="R26" s="1245"/>
      <c r="S26" s="1245"/>
      <c r="T26" s="1245"/>
      <c r="U26" s="1245"/>
      <c r="V26" s="1245"/>
      <c r="W26" s="1207"/>
      <c r="X26" s="1207"/>
      <c r="Y26" s="1207"/>
      <c r="Z26" s="1207"/>
      <c r="AA26" s="1207"/>
      <c r="AB26" s="1207"/>
      <c r="AC26" s="1207"/>
      <c r="AD26" s="1207"/>
      <c r="AE26" s="1207"/>
      <c r="AF26" s="1207"/>
      <c r="AG26" s="1207"/>
      <c r="AH26" s="1207"/>
      <c r="AI26" s="1207"/>
      <c r="AJ26" s="1207"/>
      <c r="AK26" s="1207"/>
      <c r="AL26" s="1207"/>
      <c r="AM26" s="1207"/>
      <c r="AN26" s="1207"/>
      <c r="AO26" s="1207"/>
      <c r="AP26" s="1207"/>
      <c r="AQ26" s="1207"/>
      <c r="AR26" s="1207"/>
      <c r="AS26" s="1207"/>
      <c r="AT26" s="1207"/>
      <c r="AU26" s="1207"/>
      <c r="AV26" s="1207"/>
      <c r="AW26" s="1207"/>
      <c r="AX26" s="1207"/>
      <c r="AY26" s="1207"/>
      <c r="AZ26" s="1207"/>
      <c r="BA26" s="1207"/>
      <c r="BB26" s="1207"/>
      <c r="BC26" s="1207"/>
      <c r="BD26" s="1207"/>
      <c r="BE26" s="1207"/>
      <c r="BF26" s="1207"/>
      <c r="BG26" s="1207"/>
      <c r="BH26" s="1207"/>
      <c r="BI26" s="1207"/>
      <c r="BJ26" s="1207"/>
      <c r="BK26" s="1207"/>
      <c r="BL26" s="1207"/>
      <c r="BM26" s="1207"/>
      <c r="BN26" s="1207"/>
      <c r="BO26" s="1207"/>
      <c r="BP26" s="1207"/>
      <c r="BQ26" s="1207"/>
      <c r="BR26" s="1207"/>
      <c r="BS26" s="1207"/>
      <c r="BT26" s="1207"/>
      <c r="BU26" s="1207"/>
      <c r="BV26" s="1207"/>
      <c r="BW26" s="1207"/>
      <c r="BX26" s="1207"/>
      <c r="BY26" s="1207"/>
      <c r="BZ26" s="1207"/>
      <c r="CA26" s="1207"/>
    </row>
    <row r="27" spans="1:79" x14ac:dyDescent="0.25">
      <c r="A27" s="1211">
        <v>2</v>
      </c>
      <c r="B27" s="1262" t="s">
        <v>511</v>
      </c>
      <c r="C27" s="1263"/>
      <c r="D27" s="1263"/>
      <c r="E27" s="1268">
        <v>5.5</v>
      </c>
      <c r="F27" s="1268">
        <v>10.5</v>
      </c>
      <c r="G27" s="1268"/>
      <c r="H27" s="1268">
        <v>6.1</v>
      </c>
      <c r="I27" s="1268">
        <v>15.6</v>
      </c>
      <c r="J27" s="1268"/>
      <c r="K27" s="1268">
        <v>8.3000000000000007</v>
      </c>
      <c r="L27" s="1268">
        <v>14.5</v>
      </c>
      <c r="M27" s="1268"/>
      <c r="N27" s="1268">
        <v>5.2</v>
      </c>
      <c r="O27" s="1268">
        <v>3.4</v>
      </c>
      <c r="P27" s="1268"/>
      <c r="Q27" s="1268">
        <v>8.1</v>
      </c>
      <c r="R27" s="1268">
        <v>11.3</v>
      </c>
      <c r="S27" s="1268">
        <v>6.8</v>
      </c>
      <c r="T27" s="1268"/>
      <c r="U27" s="1268">
        <v>13.7</v>
      </c>
      <c r="V27" s="1268">
        <v>13</v>
      </c>
      <c r="W27" s="1269"/>
      <c r="X27" s="1269"/>
      <c r="Y27" s="1269"/>
      <c r="Z27" s="1269"/>
      <c r="AA27" s="1269"/>
      <c r="AB27" s="1269"/>
      <c r="AC27" s="1269"/>
      <c r="AD27" s="1269"/>
      <c r="AE27" s="1269"/>
      <c r="AF27" s="1269"/>
      <c r="AG27" s="1269"/>
      <c r="AH27" s="1269"/>
      <c r="AI27" s="1269"/>
      <c r="AJ27" s="1269"/>
      <c r="AK27" s="1269"/>
      <c r="AL27" s="1269"/>
      <c r="AM27" s="1269"/>
      <c r="AN27" s="1269"/>
      <c r="AO27" s="1269"/>
      <c r="AP27" s="1269"/>
      <c r="AQ27" s="1269"/>
      <c r="AR27" s="1269"/>
      <c r="AS27" s="1269"/>
      <c r="AT27" s="1269"/>
      <c r="AU27" s="1269"/>
      <c r="AV27" s="1269"/>
      <c r="AW27" s="1269"/>
      <c r="AX27" s="1269"/>
      <c r="AY27" s="1269"/>
      <c r="AZ27" s="1269"/>
      <c r="BA27" s="1269"/>
      <c r="BB27" s="1269"/>
      <c r="BC27" s="1269"/>
      <c r="BD27" s="1269"/>
      <c r="BE27" s="1269"/>
      <c r="BF27" s="1269"/>
      <c r="BG27" s="1269"/>
      <c r="BH27" s="1269"/>
      <c r="BI27" s="1269"/>
      <c r="BJ27" s="1269"/>
      <c r="BK27" s="1269"/>
      <c r="BL27" s="1269"/>
      <c r="BM27" s="1269"/>
      <c r="BN27" s="1269"/>
      <c r="BO27" s="1269"/>
      <c r="BP27" s="1269"/>
      <c r="BQ27" s="1269"/>
      <c r="BR27" s="1269"/>
      <c r="BS27" s="1269"/>
      <c r="BT27" s="1269"/>
      <c r="BU27" s="1269"/>
      <c r="BV27" s="1269"/>
      <c r="BW27" s="1269"/>
      <c r="BX27" s="1269"/>
      <c r="BY27" s="1269"/>
      <c r="BZ27" s="1269"/>
      <c r="CA27" s="1269"/>
    </row>
    <row r="28" spans="1:79" x14ac:dyDescent="0.25">
      <c r="A28" s="1190"/>
      <c r="B28" s="1190"/>
      <c r="C28" s="1191"/>
      <c r="D28" s="1191"/>
      <c r="E28" s="1245"/>
      <c r="F28" s="1245"/>
      <c r="G28" s="1245"/>
      <c r="H28" s="1245"/>
      <c r="I28" s="1245"/>
      <c r="J28" s="1245"/>
      <c r="K28" s="1245"/>
      <c r="L28" s="1245"/>
      <c r="M28" s="1245"/>
      <c r="N28" s="1245"/>
      <c r="O28" s="1245"/>
      <c r="P28" s="1245"/>
      <c r="Q28" s="1245"/>
      <c r="R28" s="1245"/>
      <c r="S28" s="1245"/>
      <c r="T28" s="1245"/>
      <c r="U28" s="1245"/>
      <c r="V28" s="1245"/>
      <c r="W28" s="1207"/>
      <c r="X28" s="1207"/>
      <c r="Y28" s="1207"/>
      <c r="Z28" s="1207"/>
      <c r="AA28" s="1207"/>
      <c r="AB28" s="1207"/>
      <c r="AC28" s="1207"/>
      <c r="AD28" s="1207"/>
      <c r="AE28" s="1207"/>
      <c r="AF28" s="1207"/>
      <c r="AG28" s="1207"/>
      <c r="AH28" s="1207"/>
      <c r="AI28" s="1207"/>
      <c r="AJ28" s="1207"/>
      <c r="AK28" s="1207"/>
      <c r="AL28" s="1207"/>
      <c r="AM28" s="1207"/>
      <c r="AN28" s="1207"/>
      <c r="AO28" s="1207"/>
      <c r="AP28" s="1207"/>
      <c r="AQ28" s="1207"/>
      <c r="AR28" s="1207"/>
      <c r="AS28" s="1207"/>
      <c r="AT28" s="1207"/>
      <c r="AU28" s="1207"/>
      <c r="AV28" s="1207"/>
      <c r="AW28" s="1207"/>
      <c r="AX28" s="1207"/>
      <c r="AY28" s="1207"/>
      <c r="AZ28" s="1207"/>
      <c r="BA28" s="1207"/>
      <c r="BB28" s="1207"/>
      <c r="BC28" s="1207"/>
      <c r="BD28" s="1207"/>
      <c r="BE28" s="1207"/>
      <c r="BF28" s="1207"/>
      <c r="BG28" s="1207"/>
      <c r="BH28" s="1207"/>
      <c r="BI28" s="1207"/>
      <c r="BJ28" s="1207"/>
      <c r="BK28" s="1207"/>
      <c r="BL28" s="1207"/>
      <c r="BM28" s="1207"/>
      <c r="BN28" s="1207"/>
      <c r="BO28" s="1207"/>
      <c r="BP28" s="1207"/>
      <c r="BQ28" s="1207"/>
      <c r="BR28" s="1207"/>
      <c r="BS28" s="1207"/>
      <c r="BT28" s="1207"/>
      <c r="BU28" s="1207"/>
      <c r="BV28" s="1207"/>
      <c r="BW28" s="1207"/>
      <c r="BX28" s="1207"/>
      <c r="BY28" s="1207"/>
      <c r="BZ28" s="1207"/>
      <c r="CA28" s="1207"/>
    </row>
    <row r="29" spans="1:79" x14ac:dyDescent="0.25">
      <c r="A29" s="1211">
        <v>3</v>
      </c>
      <c r="B29" s="1260" t="s">
        <v>512</v>
      </c>
      <c r="C29" s="1263"/>
      <c r="D29" s="1263"/>
      <c r="E29" s="1268">
        <v>3.6</v>
      </c>
      <c r="F29" s="1268">
        <v>10</v>
      </c>
      <c r="G29" s="1268"/>
      <c r="H29" s="1268">
        <v>7</v>
      </c>
      <c r="I29" s="1268">
        <v>13.1</v>
      </c>
      <c r="J29" s="1268"/>
      <c r="K29" s="1268">
        <v>8.5</v>
      </c>
      <c r="L29" s="1268">
        <v>18.399999999999999</v>
      </c>
      <c r="M29" s="1268"/>
      <c r="N29" s="1268">
        <v>18.2</v>
      </c>
      <c r="O29" s="1268">
        <v>17.600000000000001</v>
      </c>
      <c r="P29" s="1268"/>
      <c r="Q29" s="1268">
        <v>22.2</v>
      </c>
      <c r="R29" s="1268">
        <v>28.4</v>
      </c>
      <c r="S29" s="1268">
        <v>30</v>
      </c>
      <c r="T29" s="1268"/>
      <c r="U29" s="1268">
        <v>24.2</v>
      </c>
      <c r="V29" s="1268">
        <v>30.6</v>
      </c>
      <c r="W29" s="1269"/>
      <c r="X29" s="1269"/>
      <c r="Y29" s="1269"/>
      <c r="Z29" s="1269"/>
      <c r="AA29" s="1269"/>
      <c r="AB29" s="1269"/>
      <c r="AC29" s="1269"/>
      <c r="AD29" s="1269"/>
      <c r="AE29" s="1269"/>
      <c r="AF29" s="1269"/>
      <c r="AG29" s="1269"/>
      <c r="AH29" s="1269"/>
      <c r="AI29" s="1269"/>
      <c r="AJ29" s="1269"/>
      <c r="AK29" s="1269"/>
      <c r="AL29" s="1269"/>
      <c r="AM29" s="1269"/>
      <c r="AN29" s="1269"/>
      <c r="AO29" s="1269"/>
      <c r="AP29" s="1269"/>
      <c r="AQ29" s="1269"/>
      <c r="AR29" s="1269"/>
      <c r="AS29" s="1269"/>
      <c r="AT29" s="1269"/>
      <c r="AU29" s="1269"/>
      <c r="AV29" s="1269"/>
      <c r="AW29" s="1269"/>
      <c r="AX29" s="1269"/>
      <c r="AY29" s="1269"/>
      <c r="AZ29" s="1269"/>
      <c r="BA29" s="1269"/>
      <c r="BB29" s="1269"/>
      <c r="BC29" s="1269"/>
      <c r="BD29" s="1269"/>
      <c r="BE29" s="1269"/>
      <c r="BF29" s="1269"/>
      <c r="BG29" s="1269"/>
      <c r="BH29" s="1269"/>
      <c r="BI29" s="1269"/>
      <c r="BJ29" s="1269"/>
      <c r="BK29" s="1269"/>
      <c r="BL29" s="1269"/>
      <c r="BM29" s="1269"/>
      <c r="BN29" s="1269"/>
      <c r="BO29" s="1269"/>
      <c r="BP29" s="1269"/>
      <c r="BQ29" s="1269"/>
      <c r="BR29" s="1269"/>
      <c r="BS29" s="1269"/>
      <c r="BT29" s="1269"/>
      <c r="BU29" s="1269"/>
      <c r="BV29" s="1269"/>
      <c r="BW29" s="1269"/>
      <c r="BX29" s="1269"/>
      <c r="BY29" s="1269"/>
      <c r="BZ29" s="1269"/>
      <c r="CA29" s="1269"/>
    </row>
    <row r="30" spans="1:79" x14ac:dyDescent="0.25">
      <c r="A30" s="1190"/>
      <c r="B30" s="1190"/>
      <c r="C30" s="1191"/>
      <c r="D30" s="1191"/>
      <c r="E30" s="1245"/>
      <c r="F30" s="1245"/>
      <c r="G30" s="1245"/>
      <c r="H30" s="1245"/>
      <c r="I30" s="1245"/>
      <c r="J30" s="1245"/>
      <c r="K30" s="1245"/>
      <c r="L30" s="1245"/>
      <c r="M30" s="1245"/>
      <c r="N30" s="1245"/>
      <c r="O30" s="1245"/>
      <c r="P30" s="1245"/>
      <c r="Q30" s="1245"/>
      <c r="R30" s="1245"/>
      <c r="S30" s="1245"/>
      <c r="T30" s="1245"/>
      <c r="U30" s="1245"/>
      <c r="V30" s="1245"/>
      <c r="W30" s="1207"/>
      <c r="X30" s="1207"/>
      <c r="Y30" s="1207"/>
      <c r="Z30" s="1207"/>
      <c r="AA30" s="1207"/>
      <c r="AB30" s="1207"/>
      <c r="AC30" s="1207"/>
      <c r="AD30" s="1207"/>
      <c r="AE30" s="1207"/>
      <c r="AF30" s="1207"/>
      <c r="AG30" s="1207"/>
      <c r="AH30" s="1207"/>
      <c r="AI30" s="1207"/>
      <c r="AJ30" s="1207"/>
      <c r="AK30" s="1207"/>
      <c r="AL30" s="1207"/>
      <c r="AM30" s="1207"/>
      <c r="AN30" s="1207"/>
      <c r="AO30" s="1207"/>
      <c r="AP30" s="1207"/>
      <c r="AQ30" s="1207"/>
      <c r="AR30" s="1207"/>
      <c r="AS30" s="1207"/>
      <c r="AT30" s="1207"/>
      <c r="AU30" s="1207"/>
      <c r="AV30" s="1207"/>
      <c r="AW30" s="1207"/>
      <c r="AX30" s="1207"/>
      <c r="AY30" s="1207"/>
      <c r="AZ30" s="1207"/>
      <c r="BA30" s="1207"/>
      <c r="BB30" s="1207"/>
      <c r="BC30" s="1207"/>
      <c r="BD30" s="1207"/>
      <c r="BE30" s="1207"/>
      <c r="BF30" s="1207"/>
      <c r="BG30" s="1207"/>
      <c r="BH30" s="1207"/>
      <c r="BI30" s="1207"/>
      <c r="BJ30" s="1207"/>
      <c r="BK30" s="1207"/>
      <c r="BL30" s="1207"/>
      <c r="BM30" s="1207"/>
      <c r="BN30" s="1207"/>
      <c r="BO30" s="1207"/>
      <c r="BP30" s="1207"/>
      <c r="BQ30" s="1207"/>
      <c r="BR30" s="1207"/>
      <c r="BS30" s="1207"/>
      <c r="BT30" s="1207"/>
      <c r="BU30" s="1207"/>
      <c r="BV30" s="1207"/>
      <c r="BW30" s="1207"/>
      <c r="BX30" s="1207"/>
      <c r="BY30" s="1207"/>
      <c r="BZ30" s="1207"/>
      <c r="CA30" s="1207"/>
    </row>
    <row r="31" spans="1:79" x14ac:dyDescent="0.25">
      <c r="A31" s="1211">
        <v>4</v>
      </c>
      <c r="B31" s="1262" t="s">
        <v>609</v>
      </c>
      <c r="C31" s="1263"/>
      <c r="D31" s="1263"/>
      <c r="E31" s="1268">
        <v>53.9</v>
      </c>
      <c r="F31" s="1268">
        <v>69.900000000000006</v>
      </c>
      <c r="G31" s="1268"/>
      <c r="H31" s="1268">
        <v>58.7</v>
      </c>
      <c r="I31" s="1268">
        <v>74.5</v>
      </c>
      <c r="J31" s="1268"/>
      <c r="K31" s="1268">
        <v>94.8</v>
      </c>
      <c r="L31" s="1268">
        <v>127.8</v>
      </c>
      <c r="M31" s="1268"/>
      <c r="N31" s="1268">
        <v>113.3</v>
      </c>
      <c r="O31" s="1268">
        <v>142.30000000000001</v>
      </c>
      <c r="P31" s="1268"/>
      <c r="Q31" s="1268">
        <v>113</v>
      </c>
      <c r="R31" s="1268">
        <v>121</v>
      </c>
      <c r="S31" s="1268">
        <v>137</v>
      </c>
      <c r="T31" s="1268"/>
      <c r="U31" s="1268">
        <v>124.6</v>
      </c>
      <c r="V31" s="1268">
        <v>133.5</v>
      </c>
      <c r="W31" s="1269"/>
      <c r="X31" s="1269"/>
      <c r="Y31" s="1269"/>
      <c r="Z31" s="1269"/>
      <c r="AA31" s="1269"/>
      <c r="AB31" s="1269"/>
      <c r="AC31" s="1269"/>
      <c r="AD31" s="1269"/>
      <c r="AE31" s="1269"/>
      <c r="AF31" s="1269"/>
      <c r="AG31" s="1269"/>
      <c r="AH31" s="1269"/>
      <c r="AI31" s="1269"/>
      <c r="AJ31" s="1269"/>
      <c r="AK31" s="1269"/>
      <c r="AL31" s="1269"/>
      <c r="AM31" s="1269"/>
      <c r="AN31" s="1269"/>
      <c r="AO31" s="1269"/>
      <c r="AP31" s="1269"/>
      <c r="AQ31" s="1269"/>
      <c r="AR31" s="1269"/>
      <c r="AS31" s="1269"/>
      <c r="AT31" s="1269"/>
      <c r="AU31" s="1269"/>
      <c r="AV31" s="1269"/>
      <c r="AW31" s="1269"/>
      <c r="AX31" s="1269"/>
      <c r="AY31" s="1269"/>
      <c r="AZ31" s="1269"/>
      <c r="BA31" s="1269"/>
      <c r="BB31" s="1269"/>
      <c r="BC31" s="1269"/>
      <c r="BD31" s="1269"/>
      <c r="BE31" s="1269"/>
      <c r="BF31" s="1269"/>
      <c r="BG31" s="1269"/>
      <c r="BH31" s="1269"/>
      <c r="BI31" s="1269"/>
      <c r="BJ31" s="1269"/>
      <c r="BK31" s="1269"/>
      <c r="BL31" s="1269"/>
      <c r="BM31" s="1269"/>
      <c r="BN31" s="1269"/>
      <c r="BO31" s="1269"/>
      <c r="BP31" s="1269"/>
      <c r="BQ31" s="1269"/>
      <c r="BR31" s="1269"/>
      <c r="BS31" s="1269"/>
      <c r="BT31" s="1269"/>
      <c r="BU31" s="1269"/>
      <c r="BV31" s="1269"/>
      <c r="BW31" s="1269"/>
      <c r="BX31" s="1269"/>
      <c r="BY31" s="1269"/>
      <c r="BZ31" s="1269"/>
      <c r="CA31" s="1269"/>
    </row>
    <row r="32" spans="1:79" x14ac:dyDescent="0.25">
      <c r="A32" s="1190"/>
      <c r="B32" s="1190"/>
      <c r="C32" s="1191"/>
      <c r="D32" s="1191"/>
      <c r="E32" s="1245"/>
      <c r="F32" s="1245"/>
      <c r="G32" s="1245"/>
      <c r="H32" s="1245"/>
      <c r="I32" s="1245"/>
      <c r="J32" s="1245"/>
      <c r="K32" s="1245"/>
      <c r="L32" s="1245"/>
      <c r="M32" s="1245"/>
      <c r="N32" s="1245"/>
      <c r="O32" s="1245"/>
      <c r="P32" s="1245"/>
      <c r="Q32" s="1245"/>
      <c r="R32" s="1245"/>
      <c r="S32" s="1245"/>
      <c r="T32" s="1245"/>
      <c r="U32" s="1245"/>
      <c r="V32" s="1245"/>
      <c r="W32" s="1207"/>
      <c r="X32" s="1207"/>
      <c r="Y32" s="1207"/>
      <c r="Z32" s="1207"/>
      <c r="AA32" s="1207"/>
      <c r="AB32" s="1207"/>
      <c r="AC32" s="1207"/>
      <c r="AD32" s="1207"/>
      <c r="AE32" s="1207"/>
      <c r="AF32" s="1207"/>
      <c r="AG32" s="1207"/>
      <c r="AH32" s="1207"/>
      <c r="AI32" s="1207"/>
      <c r="AJ32" s="1207"/>
      <c r="AK32" s="1207"/>
      <c r="AL32" s="1207"/>
      <c r="AM32" s="1207"/>
      <c r="AN32" s="1207"/>
      <c r="AO32" s="1207"/>
      <c r="AP32" s="1207"/>
      <c r="AQ32" s="1207"/>
      <c r="AR32" s="1207"/>
      <c r="AS32" s="1207"/>
      <c r="AT32" s="1207"/>
      <c r="AU32" s="1207"/>
      <c r="AV32" s="1207"/>
      <c r="AW32" s="1207"/>
      <c r="AX32" s="1207"/>
      <c r="AY32" s="1207"/>
      <c r="AZ32" s="1207"/>
      <c r="BA32" s="1207"/>
      <c r="BB32" s="1207"/>
      <c r="BC32" s="1207"/>
      <c r="BD32" s="1207"/>
      <c r="BE32" s="1207"/>
      <c r="BF32" s="1207"/>
      <c r="BG32" s="1207"/>
      <c r="BH32" s="1207"/>
      <c r="BI32" s="1207"/>
      <c r="BJ32" s="1207"/>
      <c r="BK32" s="1207"/>
      <c r="BL32" s="1207"/>
      <c r="BM32" s="1207"/>
      <c r="BN32" s="1207"/>
      <c r="BO32" s="1207"/>
      <c r="BP32" s="1207"/>
      <c r="BQ32" s="1207"/>
      <c r="BR32" s="1207"/>
      <c r="BS32" s="1207"/>
      <c r="BT32" s="1207"/>
      <c r="BU32" s="1207"/>
      <c r="BV32" s="1207"/>
      <c r="BW32" s="1207"/>
      <c r="BX32" s="1207"/>
      <c r="BY32" s="1207"/>
      <c r="BZ32" s="1207"/>
      <c r="CA32" s="1207"/>
    </row>
    <row r="33" spans="1:79" x14ac:dyDescent="0.25">
      <c r="A33" s="1211">
        <v>5</v>
      </c>
      <c r="B33" s="1262" t="s">
        <v>514</v>
      </c>
      <c r="C33" s="1263"/>
      <c r="D33" s="1263"/>
      <c r="E33" s="1268">
        <v>20.2</v>
      </c>
      <c r="F33" s="1268">
        <v>14.9</v>
      </c>
      <c r="G33" s="1268"/>
      <c r="H33" s="1268">
        <v>28.3</v>
      </c>
      <c r="I33" s="1268">
        <v>43.3</v>
      </c>
      <c r="J33" s="1268"/>
      <c r="K33" s="1268">
        <v>26.4</v>
      </c>
      <c r="L33" s="1268">
        <v>40</v>
      </c>
      <c r="M33" s="1268"/>
      <c r="N33" s="1268">
        <v>22.6</v>
      </c>
      <c r="O33" s="1268">
        <v>24.4</v>
      </c>
      <c r="P33" s="1268"/>
      <c r="Q33" s="1268">
        <v>42.5</v>
      </c>
      <c r="R33" s="1268">
        <v>44.6</v>
      </c>
      <c r="S33" s="1268">
        <v>38.700000000000003</v>
      </c>
      <c r="T33" s="1268"/>
      <c r="U33" s="1268">
        <v>41.6</v>
      </c>
      <c r="V33" s="1268">
        <v>34.5</v>
      </c>
      <c r="W33" s="1269"/>
      <c r="X33" s="1269"/>
      <c r="Y33" s="1269"/>
      <c r="Z33" s="1269"/>
      <c r="AA33" s="1269"/>
      <c r="AB33" s="1269"/>
      <c r="AC33" s="1269"/>
      <c r="AD33" s="1269"/>
      <c r="AE33" s="1269"/>
      <c r="AF33" s="1269"/>
      <c r="AG33" s="1269"/>
      <c r="AH33" s="1269"/>
      <c r="AI33" s="1269"/>
      <c r="AJ33" s="1269"/>
      <c r="AK33" s="1269"/>
      <c r="AL33" s="1269"/>
      <c r="AM33" s="1269"/>
      <c r="AN33" s="1269"/>
      <c r="AO33" s="1269"/>
      <c r="AP33" s="1269"/>
      <c r="AQ33" s="1269"/>
      <c r="AR33" s="1269"/>
      <c r="AS33" s="1269"/>
      <c r="AT33" s="1269"/>
      <c r="AU33" s="1269"/>
      <c r="AV33" s="1269"/>
      <c r="AW33" s="1269"/>
      <c r="AX33" s="1269"/>
      <c r="AY33" s="1269"/>
      <c r="AZ33" s="1269"/>
      <c r="BA33" s="1269"/>
      <c r="BB33" s="1269"/>
      <c r="BC33" s="1269"/>
      <c r="BD33" s="1269"/>
      <c r="BE33" s="1269"/>
      <c r="BF33" s="1269"/>
      <c r="BG33" s="1269"/>
      <c r="BH33" s="1269"/>
      <c r="BI33" s="1269"/>
      <c r="BJ33" s="1269"/>
      <c r="BK33" s="1269"/>
      <c r="BL33" s="1269"/>
      <c r="BM33" s="1269"/>
      <c r="BN33" s="1269"/>
      <c r="BO33" s="1269"/>
      <c r="BP33" s="1269"/>
      <c r="BQ33" s="1269"/>
      <c r="BR33" s="1269"/>
      <c r="BS33" s="1269"/>
      <c r="BT33" s="1269"/>
      <c r="BU33" s="1269"/>
      <c r="BV33" s="1269"/>
      <c r="BW33" s="1269"/>
      <c r="BX33" s="1269"/>
      <c r="BY33" s="1269"/>
      <c r="BZ33" s="1269"/>
      <c r="CA33" s="1269"/>
    </row>
    <row r="34" spans="1:79" x14ac:dyDescent="0.25">
      <c r="A34" s="1190"/>
      <c r="B34" s="1190"/>
      <c r="C34" s="1191"/>
      <c r="D34" s="1191"/>
      <c r="E34" s="1245"/>
      <c r="F34" s="1245"/>
      <c r="G34" s="1245"/>
      <c r="H34" s="1245"/>
      <c r="I34" s="1245"/>
      <c r="J34" s="1245"/>
      <c r="K34" s="1245"/>
      <c r="L34" s="1245"/>
      <c r="M34" s="1245"/>
      <c r="N34" s="1245"/>
      <c r="O34" s="1245"/>
      <c r="P34" s="1245"/>
      <c r="Q34" s="1245"/>
      <c r="R34" s="1245"/>
      <c r="S34" s="1245"/>
      <c r="T34" s="1245"/>
      <c r="U34" s="1245"/>
      <c r="V34" s="1245"/>
      <c r="W34" s="1207"/>
      <c r="X34" s="1207"/>
      <c r="Y34" s="1207"/>
      <c r="Z34" s="1207"/>
      <c r="AA34" s="1207"/>
      <c r="AB34" s="1207"/>
      <c r="AC34" s="1207"/>
      <c r="AD34" s="1207"/>
      <c r="AE34" s="1207"/>
      <c r="AF34" s="1207"/>
      <c r="AG34" s="1207"/>
      <c r="AH34" s="1207"/>
      <c r="AI34" s="1207"/>
      <c r="AJ34" s="1207"/>
      <c r="AK34" s="1207"/>
      <c r="AL34" s="1207"/>
      <c r="AM34" s="1207"/>
      <c r="AN34" s="1207"/>
      <c r="AO34" s="1207"/>
      <c r="AP34" s="1207"/>
      <c r="AQ34" s="1207"/>
      <c r="AR34" s="1207"/>
      <c r="AS34" s="1207"/>
      <c r="AT34" s="1207"/>
      <c r="AU34" s="1207"/>
      <c r="AV34" s="1207"/>
      <c r="AW34" s="1207"/>
      <c r="AX34" s="1207"/>
      <c r="AY34" s="1207"/>
      <c r="AZ34" s="1207"/>
      <c r="BA34" s="1207"/>
      <c r="BB34" s="1207"/>
      <c r="BC34" s="1207"/>
      <c r="BD34" s="1207"/>
      <c r="BE34" s="1207"/>
      <c r="BF34" s="1207"/>
      <c r="BG34" s="1207"/>
      <c r="BH34" s="1207"/>
      <c r="BI34" s="1207"/>
      <c r="BJ34" s="1207"/>
      <c r="BK34" s="1207"/>
      <c r="BL34" s="1207"/>
      <c r="BM34" s="1207"/>
      <c r="BN34" s="1207"/>
      <c r="BO34" s="1207"/>
      <c r="BP34" s="1207"/>
      <c r="BQ34" s="1207"/>
      <c r="BR34" s="1207"/>
      <c r="BS34" s="1207"/>
      <c r="BT34" s="1207"/>
      <c r="BU34" s="1207"/>
      <c r="BV34" s="1207"/>
      <c r="BW34" s="1207"/>
      <c r="BX34" s="1207"/>
      <c r="BY34" s="1207"/>
      <c r="BZ34" s="1207"/>
      <c r="CA34" s="1207"/>
    </row>
    <row r="35" spans="1:79" x14ac:dyDescent="0.25">
      <c r="A35" s="1211">
        <v>6</v>
      </c>
      <c r="B35" s="1262" t="s">
        <v>515</v>
      </c>
      <c r="C35" s="1263"/>
      <c r="D35" s="1263"/>
      <c r="E35" s="1268" t="s">
        <v>610</v>
      </c>
      <c r="F35" s="1268" t="s">
        <v>610</v>
      </c>
      <c r="G35" s="1268"/>
      <c r="H35" s="1268" t="s">
        <v>610</v>
      </c>
      <c r="I35" s="1268" t="s">
        <v>610</v>
      </c>
      <c r="J35" s="1268"/>
      <c r="K35" s="1268" t="s">
        <v>610</v>
      </c>
      <c r="L35" s="1268" t="s">
        <v>610</v>
      </c>
      <c r="M35" s="1268"/>
      <c r="N35" s="1268" t="s">
        <v>610</v>
      </c>
      <c r="O35" s="1268" t="s">
        <v>610</v>
      </c>
      <c r="P35" s="1268"/>
      <c r="Q35" s="1268" t="s">
        <v>610</v>
      </c>
      <c r="R35" s="1268" t="s">
        <v>610</v>
      </c>
      <c r="S35" s="1268" t="s">
        <v>610</v>
      </c>
      <c r="T35" s="1268"/>
      <c r="U35" s="1268" t="s">
        <v>610</v>
      </c>
      <c r="V35" s="1268" t="s">
        <v>610</v>
      </c>
      <c r="W35" s="1269"/>
      <c r="X35" s="1269"/>
      <c r="Y35" s="1269"/>
      <c r="Z35" s="1269"/>
      <c r="AA35" s="1269"/>
      <c r="AB35" s="1269"/>
      <c r="AC35" s="1269"/>
      <c r="AD35" s="1269"/>
      <c r="AE35" s="1269"/>
      <c r="AF35" s="1269"/>
      <c r="AG35" s="1269"/>
      <c r="AH35" s="1269"/>
      <c r="AI35" s="1269"/>
      <c r="AJ35" s="1269"/>
      <c r="AK35" s="1269"/>
      <c r="AL35" s="1269"/>
      <c r="AM35" s="1269"/>
      <c r="AN35" s="1269"/>
      <c r="AO35" s="1269"/>
      <c r="AP35" s="1269"/>
      <c r="AQ35" s="1269"/>
      <c r="AR35" s="1269"/>
      <c r="AS35" s="1269"/>
      <c r="AT35" s="1269"/>
      <c r="AU35" s="1269"/>
      <c r="AV35" s="1269"/>
      <c r="AW35" s="1269"/>
      <c r="AX35" s="1269"/>
      <c r="AY35" s="1269"/>
      <c r="AZ35" s="1269"/>
      <c r="BA35" s="1269"/>
      <c r="BB35" s="1269"/>
      <c r="BC35" s="1269"/>
      <c r="BD35" s="1269"/>
      <c r="BE35" s="1269"/>
      <c r="BF35" s="1269"/>
      <c r="BG35" s="1269"/>
      <c r="BH35" s="1269"/>
      <c r="BI35" s="1269"/>
      <c r="BJ35" s="1269"/>
      <c r="BK35" s="1269"/>
      <c r="BL35" s="1269"/>
      <c r="BM35" s="1269"/>
      <c r="BN35" s="1269"/>
      <c r="BO35" s="1269"/>
      <c r="BP35" s="1269"/>
      <c r="BQ35" s="1269"/>
      <c r="BR35" s="1269"/>
      <c r="BS35" s="1269"/>
      <c r="BT35" s="1269"/>
      <c r="BU35" s="1269"/>
      <c r="BV35" s="1269"/>
      <c r="BW35" s="1269"/>
      <c r="BX35" s="1269"/>
      <c r="BY35" s="1269"/>
      <c r="BZ35" s="1269"/>
      <c r="CA35" s="1269"/>
    </row>
    <row r="36" spans="1:79" x14ac:dyDescent="0.25">
      <c r="A36" s="1190"/>
      <c r="B36" s="1190"/>
      <c r="C36" s="1191"/>
      <c r="D36" s="1191"/>
      <c r="E36" s="1245"/>
      <c r="F36" s="1245"/>
      <c r="G36" s="1245"/>
      <c r="H36" s="1245"/>
      <c r="I36" s="1245"/>
      <c r="J36" s="1245"/>
      <c r="K36" s="1245"/>
      <c r="L36" s="1245"/>
      <c r="M36" s="1245"/>
      <c r="N36" s="1245"/>
      <c r="O36" s="1245"/>
      <c r="P36" s="1245"/>
      <c r="Q36" s="1245"/>
      <c r="R36" s="1245"/>
      <c r="S36" s="1245"/>
      <c r="T36" s="1245"/>
      <c r="U36" s="1245"/>
      <c r="V36" s="1245"/>
      <c r="W36" s="1207"/>
      <c r="X36" s="1207"/>
      <c r="Y36" s="1207"/>
      <c r="Z36" s="1207"/>
      <c r="AA36" s="1207"/>
      <c r="AB36" s="1207"/>
      <c r="AC36" s="1207"/>
      <c r="AD36" s="1207"/>
      <c r="AE36" s="1207"/>
      <c r="AF36" s="1207"/>
      <c r="AG36" s="1207"/>
      <c r="AH36" s="1207"/>
      <c r="AI36" s="1207"/>
      <c r="AJ36" s="1207"/>
      <c r="AK36" s="1207"/>
      <c r="AL36" s="1207"/>
      <c r="AM36" s="1207"/>
      <c r="AN36" s="1207"/>
      <c r="AO36" s="1207"/>
      <c r="AP36" s="1207"/>
      <c r="AQ36" s="1207"/>
      <c r="AR36" s="1207"/>
      <c r="AS36" s="1207"/>
      <c r="AT36" s="1207"/>
      <c r="AU36" s="1207"/>
      <c r="AV36" s="1207"/>
      <c r="AW36" s="1207"/>
      <c r="AX36" s="1207"/>
      <c r="AY36" s="1207"/>
      <c r="AZ36" s="1207"/>
      <c r="BA36" s="1207"/>
      <c r="BB36" s="1207"/>
      <c r="BC36" s="1207"/>
      <c r="BD36" s="1207"/>
      <c r="BE36" s="1207"/>
      <c r="BF36" s="1207"/>
      <c r="BG36" s="1207"/>
      <c r="BH36" s="1207"/>
      <c r="BI36" s="1207"/>
      <c r="BJ36" s="1207"/>
      <c r="BK36" s="1207"/>
      <c r="BL36" s="1207"/>
      <c r="BM36" s="1207"/>
      <c r="BN36" s="1207"/>
      <c r="BO36" s="1207"/>
      <c r="BP36" s="1207"/>
      <c r="BQ36" s="1207"/>
      <c r="BR36" s="1207"/>
      <c r="BS36" s="1207"/>
      <c r="BT36" s="1207"/>
      <c r="BU36" s="1207"/>
      <c r="BV36" s="1207"/>
      <c r="BW36" s="1207"/>
      <c r="BX36" s="1207"/>
      <c r="BY36" s="1207"/>
      <c r="BZ36" s="1207"/>
      <c r="CA36" s="1207"/>
    </row>
    <row r="37" spans="1:79" x14ac:dyDescent="0.25">
      <c r="A37" s="1211">
        <v>7</v>
      </c>
      <c r="B37" s="1262" t="s">
        <v>516</v>
      </c>
      <c r="C37" s="1263"/>
      <c r="D37" s="1263"/>
      <c r="E37" s="1268">
        <v>13.5</v>
      </c>
      <c r="F37" s="1268">
        <v>34.6</v>
      </c>
      <c r="G37" s="1268"/>
      <c r="H37" s="1268">
        <v>32</v>
      </c>
      <c r="I37" s="1268">
        <v>75.900000000000006</v>
      </c>
      <c r="J37" s="1268"/>
      <c r="K37" s="1268">
        <v>44.7</v>
      </c>
      <c r="L37" s="1268">
        <v>98.8</v>
      </c>
      <c r="M37" s="1268"/>
      <c r="N37" s="1268">
        <v>49.3</v>
      </c>
      <c r="O37" s="1268">
        <v>41.6</v>
      </c>
      <c r="P37" s="1268"/>
      <c r="Q37" s="1268">
        <v>102.2</v>
      </c>
      <c r="R37" s="1268">
        <v>119.1</v>
      </c>
      <c r="S37" s="1268">
        <v>129.80000000000001</v>
      </c>
      <c r="T37" s="1268"/>
      <c r="U37" s="1268">
        <v>122.5</v>
      </c>
      <c r="V37" s="1268">
        <v>105.8</v>
      </c>
      <c r="W37" s="1269"/>
      <c r="X37" s="1269"/>
      <c r="Y37" s="1269"/>
      <c r="Z37" s="1269"/>
      <c r="AA37" s="1269"/>
      <c r="AB37" s="1269"/>
      <c r="AC37" s="1269"/>
      <c r="AD37" s="1269"/>
      <c r="AE37" s="1269"/>
      <c r="AF37" s="1269"/>
      <c r="AG37" s="1269"/>
      <c r="AH37" s="1269"/>
      <c r="AI37" s="1269"/>
      <c r="AJ37" s="1269"/>
      <c r="AK37" s="1269"/>
      <c r="AL37" s="1269"/>
      <c r="AM37" s="1269"/>
      <c r="AN37" s="1269"/>
      <c r="AO37" s="1269"/>
      <c r="AP37" s="1269"/>
      <c r="AQ37" s="1269"/>
      <c r="AR37" s="1269"/>
      <c r="AS37" s="1269"/>
      <c r="AT37" s="1269"/>
      <c r="AU37" s="1269"/>
      <c r="AV37" s="1269"/>
      <c r="AW37" s="1269"/>
      <c r="AX37" s="1269"/>
      <c r="AY37" s="1269"/>
      <c r="AZ37" s="1269"/>
      <c r="BA37" s="1269"/>
      <c r="BB37" s="1269"/>
      <c r="BC37" s="1269"/>
      <c r="BD37" s="1269"/>
      <c r="BE37" s="1269"/>
      <c r="BF37" s="1269"/>
      <c r="BG37" s="1269"/>
      <c r="BH37" s="1269"/>
      <c r="BI37" s="1269"/>
      <c r="BJ37" s="1269"/>
      <c r="BK37" s="1269"/>
      <c r="BL37" s="1269"/>
      <c r="BM37" s="1269"/>
      <c r="BN37" s="1269"/>
      <c r="BO37" s="1269"/>
      <c r="BP37" s="1269"/>
      <c r="BQ37" s="1269"/>
      <c r="BR37" s="1269"/>
      <c r="BS37" s="1269"/>
      <c r="BT37" s="1269"/>
      <c r="BU37" s="1269"/>
      <c r="BV37" s="1269"/>
      <c r="BW37" s="1269"/>
      <c r="BX37" s="1269"/>
      <c r="BY37" s="1269"/>
      <c r="BZ37" s="1269"/>
      <c r="CA37" s="1269"/>
    </row>
    <row r="38" spans="1:79" x14ac:dyDescent="0.25">
      <c r="A38" s="1190"/>
      <c r="B38" s="1190"/>
      <c r="C38" s="1191"/>
      <c r="D38" s="1191"/>
      <c r="E38" s="1245"/>
      <c r="F38" s="1245"/>
      <c r="G38" s="1245"/>
      <c r="H38" s="1245"/>
      <c r="I38" s="1245"/>
      <c r="J38" s="1245"/>
      <c r="K38" s="1245"/>
      <c r="L38" s="1245"/>
      <c r="M38" s="1245"/>
      <c r="N38" s="1245"/>
      <c r="O38" s="1245"/>
      <c r="P38" s="1245"/>
      <c r="Q38" s="1245"/>
      <c r="R38" s="1245"/>
      <c r="S38" s="1245"/>
      <c r="T38" s="1245"/>
      <c r="U38" s="1245"/>
      <c r="V38" s="1245"/>
      <c r="W38" s="1207"/>
      <c r="X38" s="1207"/>
      <c r="Y38" s="1207"/>
      <c r="Z38" s="1207"/>
      <c r="AA38" s="1207"/>
      <c r="AB38" s="1207"/>
      <c r="AC38" s="1207"/>
      <c r="AD38" s="1207"/>
      <c r="AE38" s="1207"/>
      <c r="AF38" s="1207"/>
      <c r="AG38" s="1207"/>
      <c r="AH38" s="1207"/>
      <c r="AI38" s="1207"/>
      <c r="AJ38" s="1207"/>
      <c r="AK38" s="1207"/>
      <c r="AL38" s="1207"/>
      <c r="AM38" s="1207"/>
      <c r="AN38" s="1207"/>
      <c r="AO38" s="1207"/>
      <c r="AP38" s="1207"/>
      <c r="AQ38" s="1207"/>
      <c r="AR38" s="1207"/>
      <c r="AS38" s="1207"/>
      <c r="AT38" s="1207"/>
      <c r="AU38" s="1207"/>
      <c r="AV38" s="1207"/>
      <c r="AW38" s="1207"/>
      <c r="AX38" s="1207"/>
      <c r="AY38" s="1207"/>
      <c r="AZ38" s="1207"/>
      <c r="BA38" s="1207"/>
      <c r="BB38" s="1207"/>
      <c r="BC38" s="1207"/>
      <c r="BD38" s="1207"/>
      <c r="BE38" s="1207"/>
      <c r="BF38" s="1207"/>
      <c r="BG38" s="1207"/>
      <c r="BH38" s="1207"/>
      <c r="BI38" s="1207"/>
      <c r="BJ38" s="1207"/>
      <c r="BK38" s="1207"/>
      <c r="BL38" s="1207"/>
      <c r="BM38" s="1207"/>
      <c r="BN38" s="1207"/>
      <c r="BO38" s="1207"/>
      <c r="BP38" s="1207"/>
      <c r="BQ38" s="1207"/>
      <c r="BR38" s="1207"/>
      <c r="BS38" s="1207"/>
      <c r="BT38" s="1207"/>
      <c r="BU38" s="1207"/>
      <c r="BV38" s="1207"/>
      <c r="BW38" s="1207"/>
      <c r="BX38" s="1207"/>
      <c r="BY38" s="1207"/>
      <c r="BZ38" s="1207"/>
      <c r="CA38" s="1207"/>
    </row>
    <row r="39" spans="1:79" x14ac:dyDescent="0.25">
      <c r="A39" s="1211">
        <v>8</v>
      </c>
      <c r="B39" s="1262" t="s">
        <v>517</v>
      </c>
      <c r="C39" s="1263"/>
      <c r="D39" s="1263"/>
      <c r="E39" s="1268">
        <v>10.3</v>
      </c>
      <c r="F39" s="1268">
        <v>16.399999999999999</v>
      </c>
      <c r="G39" s="1268"/>
      <c r="H39" s="1268">
        <v>13.6</v>
      </c>
      <c r="I39" s="1268">
        <v>19.899999999999999</v>
      </c>
      <c r="J39" s="1268"/>
      <c r="K39" s="1268">
        <v>15.2</v>
      </c>
      <c r="L39" s="1268">
        <v>21.8</v>
      </c>
      <c r="M39" s="1268"/>
      <c r="N39" s="1268">
        <v>18.3</v>
      </c>
      <c r="O39" s="1268">
        <v>17.5</v>
      </c>
      <c r="P39" s="1268"/>
      <c r="Q39" s="1268">
        <v>22.8</v>
      </c>
      <c r="R39" s="1268">
        <v>24.1</v>
      </c>
      <c r="S39" s="1268">
        <v>26.3</v>
      </c>
      <c r="T39" s="1268"/>
      <c r="U39" s="1268">
        <v>30.4</v>
      </c>
      <c r="V39" s="1268">
        <v>30.7</v>
      </c>
      <c r="W39" s="1269"/>
      <c r="X39" s="1269"/>
      <c r="Y39" s="1269"/>
      <c r="Z39" s="1269"/>
      <c r="AA39" s="1269"/>
      <c r="AB39" s="1269"/>
      <c r="AC39" s="1269"/>
      <c r="AD39" s="1269"/>
      <c r="AE39" s="1269"/>
      <c r="AF39" s="1269"/>
      <c r="AG39" s="1269"/>
      <c r="AH39" s="1269"/>
      <c r="AI39" s="1269"/>
      <c r="AJ39" s="1269"/>
      <c r="AK39" s="1269"/>
      <c r="AL39" s="1269"/>
      <c r="AM39" s="1269"/>
      <c r="AN39" s="1269"/>
      <c r="AO39" s="1269"/>
      <c r="AP39" s="1269"/>
      <c r="AQ39" s="1269"/>
      <c r="AR39" s="1269"/>
      <c r="AS39" s="1269"/>
      <c r="AT39" s="1269"/>
      <c r="AU39" s="1269"/>
      <c r="AV39" s="1269"/>
      <c r="AW39" s="1269"/>
      <c r="AX39" s="1269"/>
      <c r="AY39" s="1269"/>
      <c r="AZ39" s="1269"/>
      <c r="BA39" s="1269"/>
      <c r="BB39" s="1269"/>
      <c r="BC39" s="1269"/>
      <c r="BD39" s="1269"/>
      <c r="BE39" s="1269"/>
      <c r="BF39" s="1269"/>
      <c r="BG39" s="1269"/>
      <c r="BH39" s="1269"/>
      <c r="BI39" s="1269"/>
      <c r="BJ39" s="1269"/>
      <c r="BK39" s="1269"/>
      <c r="BL39" s="1269"/>
      <c r="BM39" s="1269"/>
      <c r="BN39" s="1269"/>
      <c r="BO39" s="1269"/>
      <c r="BP39" s="1269"/>
      <c r="BQ39" s="1269"/>
      <c r="BR39" s="1269"/>
      <c r="BS39" s="1269"/>
      <c r="BT39" s="1269"/>
      <c r="BU39" s="1269"/>
      <c r="BV39" s="1269"/>
      <c r="BW39" s="1269"/>
      <c r="BX39" s="1269"/>
      <c r="BY39" s="1269"/>
      <c r="BZ39" s="1269"/>
      <c r="CA39" s="1269"/>
    </row>
    <row r="40" spans="1:79" x14ac:dyDescent="0.25">
      <c r="A40" s="1190"/>
      <c r="B40" s="1190"/>
      <c r="C40" s="1191"/>
      <c r="D40" s="1191"/>
      <c r="E40" s="1245"/>
      <c r="F40" s="1245"/>
      <c r="G40" s="1245"/>
      <c r="H40" s="1245"/>
      <c r="I40" s="1245"/>
      <c r="J40" s="1245"/>
      <c r="K40" s="1245"/>
      <c r="L40" s="1245"/>
      <c r="M40" s="1245"/>
      <c r="N40" s="1245"/>
      <c r="O40" s="1245"/>
      <c r="P40" s="1245"/>
      <c r="Q40" s="1245"/>
      <c r="R40" s="1245"/>
      <c r="S40" s="1245"/>
      <c r="T40" s="1245"/>
      <c r="U40" s="1245"/>
      <c r="V40" s="1245"/>
      <c r="W40" s="1207"/>
      <c r="X40" s="1207"/>
      <c r="Y40" s="1207"/>
      <c r="Z40" s="1207"/>
      <c r="AA40" s="1207"/>
      <c r="AB40" s="1207"/>
      <c r="AC40" s="1207"/>
      <c r="AD40" s="1207"/>
      <c r="AE40" s="1207"/>
      <c r="AF40" s="1207"/>
      <c r="AG40" s="1207"/>
      <c r="AH40" s="1207"/>
      <c r="AI40" s="1207"/>
      <c r="AJ40" s="1207"/>
      <c r="AK40" s="1207"/>
      <c r="AL40" s="1207"/>
      <c r="AM40" s="1207"/>
      <c r="AN40" s="1207"/>
      <c r="AO40" s="1207"/>
      <c r="AP40" s="1207"/>
      <c r="AQ40" s="1207"/>
      <c r="AR40" s="1207"/>
      <c r="AS40" s="1207"/>
      <c r="AT40" s="1207"/>
      <c r="AU40" s="1207"/>
      <c r="AV40" s="1207"/>
      <c r="AW40" s="1207"/>
      <c r="AX40" s="1207"/>
      <c r="AY40" s="1207"/>
      <c r="AZ40" s="1207"/>
      <c r="BA40" s="1207"/>
      <c r="BB40" s="1207"/>
      <c r="BC40" s="1207"/>
      <c r="BD40" s="1207"/>
      <c r="BE40" s="1207"/>
      <c r="BF40" s="1207"/>
      <c r="BG40" s="1207"/>
      <c r="BH40" s="1207"/>
      <c r="BI40" s="1207"/>
      <c r="BJ40" s="1207"/>
      <c r="BK40" s="1207"/>
      <c r="BL40" s="1207"/>
      <c r="BM40" s="1207"/>
      <c r="BN40" s="1207"/>
      <c r="BO40" s="1207"/>
      <c r="BP40" s="1207"/>
      <c r="BQ40" s="1207"/>
      <c r="BR40" s="1207"/>
      <c r="BS40" s="1207"/>
      <c r="BT40" s="1207"/>
      <c r="BU40" s="1207"/>
      <c r="BV40" s="1207"/>
      <c r="BW40" s="1207"/>
      <c r="BX40" s="1207"/>
      <c r="BY40" s="1207"/>
      <c r="BZ40" s="1207"/>
      <c r="CA40" s="1207"/>
    </row>
    <row r="41" spans="1:79" x14ac:dyDescent="0.25">
      <c r="A41" s="1211">
        <v>9</v>
      </c>
      <c r="B41" s="1262" t="s">
        <v>518</v>
      </c>
      <c r="C41" s="1263"/>
      <c r="D41" s="1263"/>
      <c r="E41" s="1268">
        <v>22.1</v>
      </c>
      <c r="F41" s="1268">
        <v>41.9</v>
      </c>
      <c r="G41" s="1268"/>
      <c r="H41" s="1268">
        <v>47.2</v>
      </c>
      <c r="I41" s="1268">
        <v>76.400000000000006</v>
      </c>
      <c r="J41" s="1268"/>
      <c r="K41" s="1268">
        <v>37</v>
      </c>
      <c r="L41" s="1268">
        <v>74.599999999999994</v>
      </c>
      <c r="M41" s="1268"/>
      <c r="N41" s="1268">
        <v>43.5</v>
      </c>
      <c r="O41" s="1268">
        <v>34.700000000000003</v>
      </c>
      <c r="P41" s="1268"/>
      <c r="Q41" s="1268">
        <v>74.2</v>
      </c>
      <c r="R41" s="1268">
        <v>106.3</v>
      </c>
      <c r="S41" s="1268">
        <v>76</v>
      </c>
      <c r="T41" s="1268"/>
      <c r="U41" s="1268">
        <v>90.1</v>
      </c>
      <c r="V41" s="1268">
        <v>71.900000000000006</v>
      </c>
      <c r="W41" s="1269"/>
      <c r="X41" s="1269"/>
      <c r="Y41" s="1269"/>
      <c r="Z41" s="1269"/>
      <c r="AA41" s="1269"/>
      <c r="AB41" s="1269"/>
      <c r="AC41" s="1269"/>
      <c r="AD41" s="1269"/>
      <c r="AE41" s="1269"/>
      <c r="AF41" s="1269"/>
      <c r="AG41" s="1269"/>
      <c r="AH41" s="1269"/>
      <c r="AI41" s="1269"/>
      <c r="AJ41" s="1269"/>
      <c r="AK41" s="1269"/>
      <c r="AL41" s="1269"/>
      <c r="AM41" s="1269"/>
      <c r="AN41" s="1269"/>
      <c r="AO41" s="1269"/>
      <c r="AP41" s="1269"/>
      <c r="AQ41" s="1269"/>
      <c r="AR41" s="1269"/>
      <c r="AS41" s="1269"/>
      <c r="AT41" s="1269"/>
      <c r="AU41" s="1269"/>
      <c r="AV41" s="1269"/>
      <c r="AW41" s="1269"/>
      <c r="AX41" s="1269"/>
      <c r="AY41" s="1269"/>
      <c r="AZ41" s="1269"/>
      <c r="BA41" s="1269"/>
      <c r="BB41" s="1269"/>
      <c r="BC41" s="1269"/>
      <c r="BD41" s="1269"/>
      <c r="BE41" s="1269"/>
      <c r="BF41" s="1269"/>
      <c r="BG41" s="1269"/>
      <c r="BH41" s="1269"/>
      <c r="BI41" s="1269"/>
      <c r="BJ41" s="1269"/>
      <c r="BK41" s="1269"/>
      <c r="BL41" s="1269"/>
      <c r="BM41" s="1269"/>
      <c r="BN41" s="1269"/>
      <c r="BO41" s="1269"/>
      <c r="BP41" s="1269"/>
      <c r="BQ41" s="1269"/>
      <c r="BR41" s="1269"/>
      <c r="BS41" s="1269"/>
      <c r="BT41" s="1269"/>
      <c r="BU41" s="1269"/>
      <c r="BV41" s="1269"/>
      <c r="BW41" s="1269"/>
      <c r="BX41" s="1269"/>
      <c r="BY41" s="1269"/>
      <c r="BZ41" s="1269"/>
      <c r="CA41" s="1269"/>
    </row>
    <row r="42" spans="1:79" x14ac:dyDescent="0.25">
      <c r="A42" s="1190"/>
      <c r="B42" s="1190"/>
      <c r="C42" s="1191"/>
      <c r="D42" s="1191"/>
      <c r="E42" s="1245"/>
      <c r="F42" s="1245"/>
      <c r="G42" s="1245"/>
      <c r="H42" s="1245"/>
      <c r="I42" s="1245"/>
      <c r="J42" s="1245"/>
      <c r="K42" s="1245"/>
      <c r="L42" s="1245"/>
      <c r="M42" s="1245"/>
      <c r="N42" s="1245"/>
      <c r="O42" s="1245"/>
      <c r="P42" s="1245"/>
      <c r="Q42" s="1245"/>
      <c r="R42" s="1245"/>
      <c r="S42" s="1245"/>
      <c r="T42" s="1245"/>
      <c r="U42" s="1245"/>
      <c r="V42" s="1245"/>
      <c r="W42" s="1207"/>
      <c r="X42" s="1207"/>
      <c r="Y42" s="1207"/>
      <c r="Z42" s="1207"/>
      <c r="AA42" s="1207"/>
      <c r="AB42" s="1207"/>
      <c r="AC42" s="1207"/>
      <c r="AD42" s="1207"/>
      <c r="AE42" s="1207"/>
      <c r="AF42" s="1207"/>
      <c r="AG42" s="1207"/>
      <c r="AH42" s="1207"/>
      <c r="AI42" s="1207"/>
      <c r="AJ42" s="1207"/>
      <c r="AK42" s="1207"/>
      <c r="AL42" s="1207"/>
      <c r="AM42" s="1207"/>
      <c r="AN42" s="1207"/>
      <c r="AO42" s="1207"/>
      <c r="AP42" s="1207"/>
      <c r="AQ42" s="1207"/>
      <c r="AR42" s="1207"/>
      <c r="AS42" s="1207"/>
      <c r="AT42" s="1207"/>
      <c r="AU42" s="1207"/>
      <c r="AV42" s="1207"/>
      <c r="AW42" s="1207"/>
      <c r="AX42" s="1207"/>
      <c r="AY42" s="1207"/>
      <c r="AZ42" s="1207"/>
      <c r="BA42" s="1207"/>
      <c r="BB42" s="1207"/>
      <c r="BC42" s="1207"/>
      <c r="BD42" s="1207"/>
      <c r="BE42" s="1207"/>
      <c r="BF42" s="1207"/>
      <c r="BG42" s="1207"/>
      <c r="BH42" s="1207"/>
      <c r="BI42" s="1207"/>
      <c r="BJ42" s="1207"/>
      <c r="BK42" s="1207"/>
      <c r="BL42" s="1207"/>
      <c r="BM42" s="1207"/>
      <c r="BN42" s="1207"/>
      <c r="BO42" s="1207"/>
      <c r="BP42" s="1207"/>
      <c r="BQ42" s="1207"/>
      <c r="BR42" s="1207"/>
      <c r="BS42" s="1207"/>
      <c r="BT42" s="1207"/>
      <c r="BU42" s="1207"/>
      <c r="BV42" s="1207"/>
      <c r="BW42" s="1207"/>
      <c r="BX42" s="1207"/>
      <c r="BY42" s="1207"/>
      <c r="BZ42" s="1207"/>
      <c r="CA42" s="1207"/>
    </row>
    <row r="43" spans="1:79" x14ac:dyDescent="0.25">
      <c r="A43" s="1211">
        <v>10</v>
      </c>
      <c r="B43" s="1262" t="s">
        <v>519</v>
      </c>
      <c r="C43" s="1263"/>
      <c r="D43" s="1263"/>
      <c r="E43" s="1268" t="s">
        <v>610</v>
      </c>
      <c r="F43" s="1268" t="s">
        <v>610</v>
      </c>
      <c r="G43" s="1268"/>
      <c r="H43" s="1268" t="s">
        <v>610</v>
      </c>
      <c r="I43" s="1268" t="s">
        <v>610</v>
      </c>
      <c r="J43" s="1268"/>
      <c r="K43" s="1268" t="s">
        <v>610</v>
      </c>
      <c r="L43" s="1268" t="s">
        <v>610</v>
      </c>
      <c r="M43" s="1268"/>
      <c r="N43" s="1268" t="s">
        <v>610</v>
      </c>
      <c r="O43" s="1268" t="s">
        <v>610</v>
      </c>
      <c r="P43" s="1268"/>
      <c r="Q43" s="1268" t="s">
        <v>610</v>
      </c>
      <c r="R43" s="1268" t="s">
        <v>610</v>
      </c>
      <c r="S43" s="1268" t="s">
        <v>610</v>
      </c>
      <c r="T43" s="1268"/>
      <c r="U43" s="1268" t="s">
        <v>610</v>
      </c>
      <c r="V43" s="1268" t="s">
        <v>610</v>
      </c>
      <c r="W43" s="1269"/>
      <c r="X43" s="1269"/>
      <c r="Y43" s="1269"/>
      <c r="Z43" s="1269"/>
      <c r="AA43" s="1269"/>
      <c r="AB43" s="1269"/>
      <c r="AC43" s="1269"/>
      <c r="AD43" s="1269"/>
      <c r="AE43" s="1269"/>
      <c r="AF43" s="1269"/>
      <c r="AG43" s="1269"/>
      <c r="AH43" s="1269"/>
      <c r="AI43" s="1269"/>
      <c r="AJ43" s="1269"/>
      <c r="AK43" s="1269"/>
      <c r="AL43" s="1269"/>
      <c r="AM43" s="1269"/>
      <c r="AN43" s="1269"/>
      <c r="AO43" s="1269"/>
      <c r="AP43" s="1269"/>
      <c r="AQ43" s="1269"/>
      <c r="AR43" s="1269"/>
      <c r="AS43" s="1269"/>
      <c r="AT43" s="1269"/>
      <c r="AU43" s="1269"/>
      <c r="AV43" s="1269"/>
      <c r="AW43" s="1269"/>
      <c r="AX43" s="1269"/>
      <c r="AY43" s="1269"/>
      <c r="AZ43" s="1269"/>
      <c r="BA43" s="1269"/>
      <c r="BB43" s="1269"/>
      <c r="BC43" s="1269"/>
      <c r="BD43" s="1269"/>
      <c r="BE43" s="1269"/>
      <c r="BF43" s="1269"/>
      <c r="BG43" s="1269"/>
      <c r="BH43" s="1269"/>
      <c r="BI43" s="1269"/>
      <c r="BJ43" s="1269"/>
      <c r="BK43" s="1269"/>
      <c r="BL43" s="1269"/>
      <c r="BM43" s="1269"/>
      <c r="BN43" s="1269"/>
      <c r="BO43" s="1269"/>
      <c r="BP43" s="1269"/>
      <c r="BQ43" s="1269"/>
      <c r="BR43" s="1269"/>
      <c r="BS43" s="1269"/>
      <c r="BT43" s="1269"/>
      <c r="BU43" s="1269"/>
      <c r="BV43" s="1269"/>
      <c r="BW43" s="1269"/>
      <c r="BX43" s="1269"/>
      <c r="BY43" s="1269"/>
      <c r="BZ43" s="1269"/>
      <c r="CA43" s="1269"/>
    </row>
    <row r="44" spans="1:79" x14ac:dyDescent="0.25">
      <c r="A44" s="1190"/>
      <c r="B44" s="1190"/>
      <c r="C44" s="1191"/>
      <c r="D44" s="1191"/>
      <c r="E44" s="1245"/>
      <c r="F44" s="1245"/>
      <c r="G44" s="1245"/>
      <c r="H44" s="1245"/>
      <c r="I44" s="1245"/>
      <c r="J44" s="1245"/>
      <c r="K44" s="1245"/>
      <c r="L44" s="1245"/>
      <c r="M44" s="1245"/>
      <c r="N44" s="1245"/>
      <c r="O44" s="1245"/>
      <c r="P44" s="1245"/>
      <c r="Q44" s="1245"/>
      <c r="R44" s="1245"/>
      <c r="S44" s="1245"/>
      <c r="T44" s="1245"/>
      <c r="U44" s="1245"/>
      <c r="V44" s="1245"/>
      <c r="W44" s="1207"/>
      <c r="X44" s="1207"/>
      <c r="Y44" s="1207"/>
      <c r="Z44" s="1207"/>
      <c r="AA44" s="1207"/>
      <c r="AB44" s="1207"/>
      <c r="AC44" s="1207"/>
      <c r="AD44" s="1207"/>
      <c r="AE44" s="1207"/>
      <c r="AF44" s="1207"/>
      <c r="AG44" s="1207"/>
      <c r="AH44" s="1207"/>
      <c r="AI44" s="1207"/>
      <c r="AJ44" s="1207"/>
      <c r="AK44" s="1207"/>
      <c r="AL44" s="1207"/>
      <c r="AM44" s="1207"/>
      <c r="AN44" s="1207"/>
      <c r="AO44" s="1207"/>
      <c r="AP44" s="1207"/>
      <c r="AQ44" s="1207"/>
      <c r="AR44" s="1207"/>
      <c r="AS44" s="1207"/>
      <c r="AT44" s="1207"/>
      <c r="AU44" s="1207"/>
      <c r="AV44" s="1207"/>
      <c r="AW44" s="1207"/>
      <c r="AX44" s="1207"/>
      <c r="AY44" s="1207"/>
      <c r="AZ44" s="1207"/>
      <c r="BA44" s="1207"/>
      <c r="BB44" s="1207"/>
      <c r="BC44" s="1207"/>
      <c r="BD44" s="1207"/>
      <c r="BE44" s="1207"/>
      <c r="BF44" s="1207"/>
      <c r="BG44" s="1207"/>
      <c r="BH44" s="1207"/>
      <c r="BI44" s="1207"/>
      <c r="BJ44" s="1207"/>
      <c r="BK44" s="1207"/>
      <c r="BL44" s="1207"/>
      <c r="BM44" s="1207"/>
      <c r="BN44" s="1207"/>
      <c r="BO44" s="1207"/>
      <c r="BP44" s="1207"/>
      <c r="BQ44" s="1207"/>
      <c r="BR44" s="1207"/>
      <c r="BS44" s="1207"/>
      <c r="BT44" s="1207"/>
      <c r="BU44" s="1207"/>
      <c r="BV44" s="1207"/>
      <c r="BW44" s="1207"/>
      <c r="BX44" s="1207"/>
      <c r="BY44" s="1207"/>
      <c r="BZ44" s="1207"/>
      <c r="CA44" s="1207"/>
    </row>
    <row r="45" spans="1:79" x14ac:dyDescent="0.25">
      <c r="A45" s="1211">
        <v>11</v>
      </c>
      <c r="B45" s="1262" t="s">
        <v>521</v>
      </c>
      <c r="C45" s="1263"/>
      <c r="D45" s="1263"/>
      <c r="E45" s="1268">
        <v>7.9</v>
      </c>
      <c r="F45" s="1268">
        <v>18</v>
      </c>
      <c r="G45" s="1268"/>
      <c r="H45" s="1268">
        <v>16.100000000000001</v>
      </c>
      <c r="I45" s="1268">
        <v>42.5</v>
      </c>
      <c r="J45" s="1268"/>
      <c r="K45" s="1268">
        <v>25.5</v>
      </c>
      <c r="L45" s="1268">
        <v>57.3</v>
      </c>
      <c r="M45" s="1268"/>
      <c r="N45" s="1268">
        <v>22.9</v>
      </c>
      <c r="O45" s="1268">
        <v>19.600000000000001</v>
      </c>
      <c r="P45" s="1268"/>
      <c r="Q45" s="1268">
        <v>42.7</v>
      </c>
      <c r="R45" s="1268">
        <v>56.2</v>
      </c>
      <c r="S45" s="1268">
        <v>51.7</v>
      </c>
      <c r="T45" s="1268"/>
      <c r="U45" s="1268">
        <v>53.6</v>
      </c>
      <c r="V45" s="1268">
        <v>48.3</v>
      </c>
      <c r="W45" s="1269"/>
      <c r="X45" s="1269"/>
      <c r="Y45" s="1269"/>
      <c r="Z45" s="1269"/>
      <c r="AA45" s="1269"/>
      <c r="AB45" s="1269"/>
      <c r="AC45" s="1269"/>
      <c r="AD45" s="1269"/>
      <c r="AE45" s="1269"/>
      <c r="AF45" s="1269"/>
      <c r="AG45" s="1269"/>
      <c r="AH45" s="1269"/>
      <c r="AI45" s="1269"/>
      <c r="AJ45" s="1269"/>
      <c r="AK45" s="1269"/>
      <c r="AL45" s="1269"/>
      <c r="AM45" s="1269"/>
      <c r="AN45" s="1269"/>
      <c r="AO45" s="1269"/>
      <c r="AP45" s="1269"/>
      <c r="AQ45" s="1269"/>
      <c r="AR45" s="1269"/>
      <c r="AS45" s="1269"/>
      <c r="AT45" s="1269"/>
      <c r="AU45" s="1269"/>
      <c r="AV45" s="1269"/>
      <c r="AW45" s="1269"/>
      <c r="AX45" s="1269"/>
      <c r="AY45" s="1269"/>
      <c r="AZ45" s="1269"/>
      <c r="BA45" s="1269"/>
      <c r="BB45" s="1269"/>
      <c r="BC45" s="1269"/>
      <c r="BD45" s="1269"/>
      <c r="BE45" s="1269"/>
      <c r="BF45" s="1269"/>
      <c r="BG45" s="1269"/>
      <c r="BH45" s="1269"/>
      <c r="BI45" s="1269"/>
      <c r="BJ45" s="1269"/>
      <c r="BK45" s="1269"/>
      <c r="BL45" s="1269"/>
      <c r="BM45" s="1269"/>
      <c r="BN45" s="1269"/>
      <c r="BO45" s="1269"/>
      <c r="BP45" s="1269"/>
      <c r="BQ45" s="1269"/>
      <c r="BR45" s="1269"/>
      <c r="BS45" s="1269"/>
      <c r="BT45" s="1269"/>
      <c r="BU45" s="1269"/>
      <c r="BV45" s="1269"/>
      <c r="BW45" s="1269"/>
      <c r="BX45" s="1269"/>
      <c r="BY45" s="1269"/>
      <c r="BZ45" s="1269"/>
      <c r="CA45" s="1269"/>
    </row>
    <row r="46" spans="1:79" x14ac:dyDescent="0.25">
      <c r="A46" s="1190"/>
      <c r="B46" s="1190"/>
      <c r="C46" s="1191"/>
      <c r="D46" s="1191"/>
      <c r="E46" s="1245"/>
      <c r="F46" s="1245"/>
      <c r="G46" s="1245"/>
      <c r="H46" s="1245"/>
      <c r="I46" s="1245"/>
      <c r="J46" s="1245"/>
      <c r="K46" s="1245"/>
      <c r="L46" s="1245"/>
      <c r="M46" s="1245"/>
      <c r="N46" s="1245"/>
      <c r="O46" s="1245"/>
      <c r="P46" s="1245"/>
      <c r="Q46" s="1245"/>
      <c r="R46" s="1245"/>
      <c r="S46" s="1245"/>
      <c r="T46" s="1245"/>
      <c r="U46" s="1245"/>
      <c r="V46" s="1245"/>
      <c r="W46" s="1207"/>
      <c r="X46" s="1207"/>
      <c r="Y46" s="1207"/>
      <c r="Z46" s="1207"/>
      <c r="AA46" s="1207"/>
      <c r="AB46" s="1207"/>
      <c r="AC46" s="1207"/>
      <c r="AD46" s="1207"/>
      <c r="AE46" s="1207"/>
      <c r="AF46" s="1207"/>
      <c r="AG46" s="1207"/>
      <c r="AH46" s="1207"/>
      <c r="AI46" s="1207"/>
      <c r="AJ46" s="1207"/>
      <c r="AK46" s="1207"/>
      <c r="AL46" s="1207"/>
      <c r="AM46" s="1207"/>
      <c r="AN46" s="1207"/>
      <c r="AO46" s="1207"/>
      <c r="AP46" s="1207"/>
      <c r="AQ46" s="1207"/>
      <c r="AR46" s="1207"/>
      <c r="AS46" s="1207"/>
      <c r="AT46" s="1207"/>
      <c r="AU46" s="1207"/>
      <c r="AV46" s="1207"/>
      <c r="AW46" s="1207"/>
      <c r="AX46" s="1207"/>
      <c r="AY46" s="1207"/>
      <c r="AZ46" s="1207"/>
      <c r="BA46" s="1207"/>
      <c r="BB46" s="1207"/>
      <c r="BC46" s="1207"/>
      <c r="BD46" s="1207"/>
      <c r="BE46" s="1207"/>
      <c r="BF46" s="1207"/>
      <c r="BG46" s="1207"/>
      <c r="BH46" s="1207"/>
      <c r="BI46" s="1207"/>
      <c r="BJ46" s="1207"/>
      <c r="BK46" s="1207"/>
      <c r="BL46" s="1207"/>
      <c r="BM46" s="1207"/>
      <c r="BN46" s="1207"/>
      <c r="BO46" s="1207"/>
      <c r="BP46" s="1207"/>
      <c r="BQ46" s="1207"/>
      <c r="BR46" s="1207"/>
      <c r="BS46" s="1207"/>
      <c r="BT46" s="1207"/>
      <c r="BU46" s="1207"/>
      <c r="BV46" s="1207"/>
      <c r="BW46" s="1207"/>
      <c r="BX46" s="1207"/>
      <c r="BY46" s="1207"/>
      <c r="BZ46" s="1207"/>
      <c r="CA46" s="1207"/>
    </row>
    <row r="47" spans="1:79" x14ac:dyDescent="0.25">
      <c r="A47" s="1211">
        <v>12</v>
      </c>
      <c r="B47" s="1262" t="s">
        <v>522</v>
      </c>
      <c r="C47" s="1263"/>
      <c r="D47" s="1263"/>
      <c r="E47" s="1268">
        <v>17</v>
      </c>
      <c r="F47" s="1268">
        <v>25.2</v>
      </c>
      <c r="G47" s="1268"/>
      <c r="H47" s="1268">
        <v>27.7</v>
      </c>
      <c r="I47" s="1268">
        <v>42.9</v>
      </c>
      <c r="J47" s="1268"/>
      <c r="K47" s="1268">
        <v>23.7</v>
      </c>
      <c r="L47" s="1268">
        <v>45.3</v>
      </c>
      <c r="M47" s="1268"/>
      <c r="N47" s="1268">
        <v>29.7</v>
      </c>
      <c r="O47" s="1268">
        <v>23.7</v>
      </c>
      <c r="P47" s="1268"/>
      <c r="Q47" s="1268">
        <v>51.7</v>
      </c>
      <c r="R47" s="1268">
        <v>53.4</v>
      </c>
      <c r="S47" s="1268">
        <v>60</v>
      </c>
      <c r="T47" s="1268"/>
      <c r="U47" s="1268">
        <v>54.3</v>
      </c>
      <c r="V47" s="1268">
        <v>62.6</v>
      </c>
      <c r="W47" s="1269"/>
      <c r="X47" s="1269"/>
      <c r="Y47" s="1269"/>
      <c r="Z47" s="1269"/>
      <c r="AA47" s="1269"/>
      <c r="AB47" s="1269"/>
      <c r="AC47" s="1269"/>
      <c r="AD47" s="1269"/>
      <c r="AE47" s="1269"/>
      <c r="AF47" s="1269"/>
      <c r="AG47" s="1269"/>
      <c r="AH47" s="1269"/>
      <c r="AI47" s="1269"/>
      <c r="AJ47" s="1269"/>
      <c r="AK47" s="1269"/>
      <c r="AL47" s="1269"/>
      <c r="AM47" s="1269"/>
      <c r="AN47" s="1269"/>
      <c r="AO47" s="1269"/>
      <c r="AP47" s="1269"/>
      <c r="AQ47" s="1269"/>
      <c r="AR47" s="1269"/>
      <c r="AS47" s="1269"/>
      <c r="AT47" s="1269"/>
      <c r="AU47" s="1269"/>
      <c r="AV47" s="1269"/>
      <c r="AW47" s="1269"/>
      <c r="AX47" s="1269"/>
      <c r="AY47" s="1269"/>
      <c r="AZ47" s="1269"/>
      <c r="BA47" s="1269"/>
      <c r="BB47" s="1269"/>
      <c r="BC47" s="1269"/>
      <c r="BD47" s="1269"/>
      <c r="BE47" s="1269"/>
      <c r="BF47" s="1269"/>
      <c r="BG47" s="1269"/>
      <c r="BH47" s="1269"/>
      <c r="BI47" s="1269"/>
      <c r="BJ47" s="1269"/>
      <c r="BK47" s="1269"/>
      <c r="BL47" s="1269"/>
      <c r="BM47" s="1269"/>
      <c r="BN47" s="1269"/>
      <c r="BO47" s="1269"/>
      <c r="BP47" s="1269"/>
      <c r="BQ47" s="1269"/>
      <c r="BR47" s="1269"/>
      <c r="BS47" s="1269"/>
      <c r="BT47" s="1269"/>
      <c r="BU47" s="1269"/>
      <c r="BV47" s="1269"/>
      <c r="BW47" s="1269"/>
      <c r="BX47" s="1269"/>
      <c r="BY47" s="1269"/>
      <c r="BZ47" s="1269"/>
      <c r="CA47" s="1269"/>
    </row>
    <row r="48" spans="1:79" x14ac:dyDescent="0.25">
      <c r="A48" s="1189"/>
      <c r="B48" s="1190"/>
      <c r="C48" s="1191"/>
      <c r="D48" s="1191"/>
      <c r="E48" s="1282"/>
      <c r="F48" s="1282"/>
      <c r="G48" s="1282"/>
      <c r="H48" s="1282"/>
      <c r="I48" s="1282"/>
      <c r="J48" s="1282"/>
      <c r="K48" s="1282"/>
      <c r="L48" s="1282"/>
      <c r="M48" s="1245"/>
      <c r="N48" s="1245"/>
      <c r="O48" s="1245"/>
      <c r="P48" s="1245"/>
      <c r="Q48" s="1245"/>
      <c r="R48" s="1245"/>
      <c r="S48" s="1245"/>
      <c r="T48" s="1245"/>
      <c r="U48" s="1245"/>
      <c r="V48" s="1245"/>
      <c r="W48" s="1207"/>
      <c r="X48" s="1207"/>
      <c r="Y48" s="1207"/>
      <c r="Z48" s="1207"/>
      <c r="AA48" s="1207"/>
      <c r="AB48" s="1207"/>
      <c r="AC48" s="1207"/>
      <c r="AD48" s="1207"/>
      <c r="AE48" s="1207"/>
      <c r="AF48" s="1207"/>
      <c r="AG48" s="1207"/>
      <c r="AH48" s="1207"/>
      <c r="AI48" s="1207"/>
      <c r="AJ48" s="1207"/>
      <c r="AK48" s="1207"/>
      <c r="AL48" s="1207"/>
      <c r="AM48" s="1207"/>
      <c r="AN48" s="1207"/>
      <c r="AO48" s="1207"/>
      <c r="AP48" s="1207"/>
      <c r="AQ48" s="1207"/>
      <c r="AR48" s="1207"/>
      <c r="AS48" s="1207"/>
      <c r="AT48" s="1207"/>
      <c r="AU48" s="1207"/>
      <c r="AV48" s="1207"/>
      <c r="AW48" s="1207"/>
      <c r="AX48" s="1207"/>
      <c r="AY48" s="1207"/>
      <c r="AZ48" s="1207"/>
      <c r="BA48" s="1207"/>
      <c r="BB48" s="1207"/>
      <c r="BC48" s="1207"/>
      <c r="BD48" s="1207"/>
      <c r="BE48" s="1207"/>
      <c r="BF48" s="1207"/>
      <c r="BG48" s="1207"/>
      <c r="BH48" s="1207"/>
      <c r="BI48" s="1207"/>
      <c r="BJ48" s="1207"/>
      <c r="BK48" s="1207"/>
      <c r="BL48" s="1207"/>
      <c r="BM48" s="1207"/>
      <c r="BN48" s="1207"/>
      <c r="BO48" s="1207"/>
      <c r="BP48" s="1207"/>
      <c r="BQ48" s="1207"/>
      <c r="BR48" s="1207"/>
      <c r="BS48" s="1207"/>
      <c r="BT48" s="1207"/>
      <c r="BU48" s="1207"/>
      <c r="BV48" s="1207"/>
      <c r="BW48" s="1207"/>
      <c r="BX48" s="1207"/>
      <c r="BY48" s="1207"/>
      <c r="BZ48" s="1207"/>
      <c r="CA48" s="1207"/>
    </row>
    <row r="49" spans="1:79" x14ac:dyDescent="0.25">
      <c r="A49" s="1190"/>
      <c r="B49" s="1190"/>
      <c r="C49" s="1191"/>
      <c r="D49" s="1191"/>
      <c r="E49" s="1245"/>
      <c r="F49" s="1245"/>
      <c r="G49" s="1245"/>
      <c r="H49" s="1245"/>
      <c r="I49" s="1245"/>
      <c r="J49" s="1245"/>
      <c r="K49" s="1245"/>
      <c r="L49" s="1245"/>
      <c r="M49" s="1245"/>
      <c r="N49" s="1246"/>
      <c r="O49" s="1246"/>
      <c r="P49" s="1246"/>
      <c r="Q49" s="1246"/>
      <c r="R49" s="1246"/>
      <c r="S49" s="1246"/>
      <c r="T49" s="1246"/>
      <c r="U49" s="1246"/>
      <c r="V49" s="1246"/>
      <c r="W49" s="1207"/>
      <c r="X49" s="1207"/>
      <c r="Y49" s="1207"/>
      <c r="Z49" s="1207"/>
      <c r="AA49" s="1207"/>
      <c r="AB49" s="1207"/>
      <c r="AC49" s="1207"/>
      <c r="AD49" s="1207"/>
      <c r="AE49" s="1207"/>
      <c r="AF49" s="1207"/>
      <c r="AG49" s="1207"/>
      <c r="AH49" s="1207"/>
      <c r="AI49" s="1207"/>
      <c r="AJ49" s="1207"/>
      <c r="AK49" s="1207"/>
      <c r="AL49" s="1207"/>
      <c r="AM49" s="1207"/>
      <c r="AN49" s="1207"/>
      <c r="AO49" s="1207"/>
      <c r="AP49" s="1207"/>
      <c r="AQ49" s="1207"/>
      <c r="AR49" s="1207"/>
      <c r="AS49" s="1207"/>
      <c r="AT49" s="1207"/>
      <c r="AU49" s="1207"/>
      <c r="AV49" s="1207"/>
      <c r="AW49" s="1207"/>
      <c r="AX49" s="1207"/>
      <c r="AY49" s="1207"/>
      <c r="AZ49" s="1207"/>
      <c r="BA49" s="1207"/>
      <c r="BB49" s="1207"/>
      <c r="BC49" s="1207"/>
      <c r="BD49" s="1207"/>
      <c r="BE49" s="1207"/>
      <c r="BF49" s="1207"/>
      <c r="BG49" s="1207"/>
      <c r="BH49" s="1207"/>
      <c r="BI49" s="1207"/>
      <c r="BJ49" s="1207"/>
      <c r="BK49" s="1207"/>
      <c r="BL49" s="1207"/>
      <c r="BM49" s="1207"/>
      <c r="BN49" s="1207"/>
      <c r="BO49" s="1207"/>
      <c r="BP49" s="1207"/>
      <c r="BQ49" s="1207"/>
      <c r="BR49" s="1207"/>
      <c r="BS49" s="1207"/>
      <c r="BT49" s="1207"/>
      <c r="BU49" s="1207"/>
      <c r="BV49" s="1207"/>
      <c r="BW49" s="1207"/>
      <c r="BX49" s="1207"/>
      <c r="BY49" s="1207"/>
      <c r="BZ49" s="1207"/>
      <c r="CA49" s="1207"/>
    </row>
    <row r="50" spans="1:79" x14ac:dyDescent="0.25">
      <c r="A50" s="1261" t="s">
        <v>584</v>
      </c>
      <c r="B50" s="1262" t="s">
        <v>585</v>
      </c>
      <c r="C50" s="1263"/>
      <c r="D50" s="1263"/>
      <c r="E50" s="1270">
        <v>194.1</v>
      </c>
      <c r="F50" s="1270">
        <v>313.89999999999998</v>
      </c>
      <c r="G50" s="1270"/>
      <c r="H50" s="1270">
        <v>282.39999999999998</v>
      </c>
      <c r="I50" s="1270">
        <v>492.7</v>
      </c>
      <c r="J50" s="1270"/>
      <c r="K50" s="1270">
        <v>326.5</v>
      </c>
      <c r="L50" s="1270">
        <v>573.9</v>
      </c>
      <c r="M50" s="1270"/>
      <c r="N50" s="1270">
        <v>389.9</v>
      </c>
      <c r="O50" s="1270">
        <v>386.9</v>
      </c>
      <c r="P50" s="1270"/>
      <c r="Q50" s="1270">
        <v>581.6</v>
      </c>
      <c r="R50" s="1270">
        <v>678.9</v>
      </c>
      <c r="S50" s="1270">
        <v>692.5</v>
      </c>
      <c r="T50" s="1270"/>
      <c r="U50" s="1270">
        <v>663.2</v>
      </c>
      <c r="V50" s="1270">
        <v>655.7</v>
      </c>
      <c r="W50" s="1269"/>
      <c r="X50" s="1269"/>
      <c r="Y50" s="1269"/>
      <c r="Z50" s="1269"/>
      <c r="AA50" s="1269"/>
      <c r="AB50" s="1269"/>
      <c r="AC50" s="1269"/>
      <c r="AD50" s="1269"/>
      <c r="AE50" s="1269"/>
      <c r="AF50" s="1269"/>
      <c r="AG50" s="1269"/>
      <c r="AH50" s="1269"/>
      <c r="AI50" s="1269"/>
      <c r="AJ50" s="1269"/>
      <c r="AK50" s="1269"/>
      <c r="AL50" s="1269"/>
      <c r="AM50" s="1269"/>
      <c r="AN50" s="1269"/>
      <c r="AO50" s="1269"/>
      <c r="AP50" s="1269"/>
      <c r="AQ50" s="1269"/>
      <c r="AR50" s="1269"/>
      <c r="AS50" s="1269"/>
      <c r="AT50" s="1269"/>
      <c r="AU50" s="1269"/>
      <c r="AV50" s="1269"/>
      <c r="AW50" s="1269"/>
      <c r="AX50" s="1269"/>
      <c r="AY50" s="1269"/>
      <c r="AZ50" s="1269"/>
      <c r="BA50" s="1269"/>
      <c r="BB50" s="1269"/>
      <c r="BC50" s="1269"/>
      <c r="BD50" s="1269"/>
      <c r="BE50" s="1269"/>
      <c r="BF50" s="1269"/>
      <c r="BG50" s="1269"/>
      <c r="BH50" s="1269"/>
      <c r="BI50" s="1269"/>
      <c r="BJ50" s="1269"/>
      <c r="BK50" s="1269"/>
      <c r="BL50" s="1269"/>
      <c r="BM50" s="1269"/>
      <c r="BN50" s="1269"/>
      <c r="BO50" s="1269"/>
      <c r="BP50" s="1269"/>
      <c r="BQ50" s="1269"/>
      <c r="BR50" s="1269"/>
      <c r="BS50" s="1269"/>
      <c r="BT50" s="1269"/>
      <c r="BU50" s="1269"/>
      <c r="BV50" s="1269"/>
      <c r="BW50" s="1269"/>
      <c r="BX50" s="1269"/>
      <c r="BY50" s="1269"/>
      <c r="BZ50" s="1269"/>
      <c r="CA50" s="1269"/>
    </row>
    <row r="51" spans="1:79" x14ac:dyDescent="0.25">
      <c r="A51" s="1190"/>
      <c r="B51" s="1190"/>
      <c r="C51" s="1191"/>
      <c r="D51" s="1191"/>
      <c r="E51" s="1282"/>
      <c r="F51" s="1282"/>
      <c r="G51" s="1282"/>
      <c r="H51" s="1282"/>
      <c r="I51" s="1282"/>
      <c r="J51" s="1282"/>
      <c r="K51" s="1282"/>
      <c r="L51" s="1282"/>
      <c r="M51" s="1282"/>
      <c r="N51" s="1282"/>
      <c r="O51" s="1282"/>
      <c r="P51" s="1282"/>
      <c r="Q51" s="1282"/>
      <c r="R51" s="1282"/>
      <c r="S51" s="1282"/>
      <c r="T51" s="1282"/>
      <c r="U51" s="1282"/>
      <c r="V51" s="1282"/>
      <c r="W51" s="1207"/>
      <c r="X51" s="1207"/>
      <c r="Y51" s="1207"/>
      <c r="Z51" s="1207"/>
      <c r="AA51" s="1207"/>
      <c r="AB51" s="1207"/>
      <c r="AC51" s="1207"/>
      <c r="AD51" s="1207"/>
      <c r="AE51" s="1207"/>
      <c r="AF51" s="1207"/>
      <c r="AG51" s="1207"/>
      <c r="AH51" s="1207"/>
      <c r="AI51" s="1207"/>
      <c r="AJ51" s="1207"/>
      <c r="AK51" s="1207"/>
      <c r="AL51" s="1207"/>
      <c r="AM51" s="1207"/>
      <c r="AN51" s="1207"/>
      <c r="AO51" s="1207"/>
      <c r="AP51" s="1207"/>
      <c r="AQ51" s="1207"/>
      <c r="AR51" s="1207"/>
      <c r="AS51" s="1207"/>
      <c r="AT51" s="1207"/>
      <c r="AU51" s="1207"/>
      <c r="AV51" s="1207"/>
      <c r="AW51" s="1207"/>
      <c r="AX51" s="1207"/>
      <c r="AY51" s="1207"/>
      <c r="AZ51" s="1207"/>
      <c r="BA51" s="1207"/>
      <c r="BB51" s="1207"/>
      <c r="BC51" s="1207"/>
      <c r="BD51" s="1207"/>
      <c r="BE51" s="1207"/>
      <c r="BF51" s="1207"/>
      <c r="BG51" s="1207"/>
      <c r="BH51" s="1207"/>
      <c r="BI51" s="1207"/>
      <c r="BJ51" s="1207"/>
      <c r="BK51" s="1207"/>
      <c r="BL51" s="1207"/>
      <c r="BM51" s="1207"/>
      <c r="BN51" s="1207"/>
      <c r="BO51" s="1207"/>
      <c r="BP51" s="1207"/>
      <c r="BQ51" s="1207"/>
      <c r="BR51" s="1207"/>
      <c r="BS51" s="1207"/>
      <c r="BT51" s="1207"/>
      <c r="BU51" s="1207"/>
      <c r="BV51" s="1207"/>
      <c r="BW51" s="1207"/>
      <c r="BX51" s="1207"/>
      <c r="BY51" s="1207"/>
      <c r="BZ51" s="1207"/>
      <c r="CA51" s="1207"/>
    </row>
    <row r="52" spans="1:79" x14ac:dyDescent="0.25">
      <c r="A52" s="1190"/>
      <c r="B52" s="1190"/>
      <c r="C52" s="1191"/>
      <c r="D52" s="1191"/>
      <c r="E52" s="1245"/>
      <c r="F52" s="1245"/>
      <c r="G52" s="1245"/>
      <c r="H52" s="1245"/>
      <c r="I52" s="1245"/>
      <c r="J52" s="1245"/>
      <c r="K52" s="1245"/>
      <c r="L52" s="1245"/>
      <c r="M52" s="1245"/>
      <c r="N52" s="1245"/>
      <c r="O52" s="1245"/>
      <c r="P52" s="1245"/>
      <c r="Q52" s="1245"/>
      <c r="R52" s="1245"/>
      <c r="S52" s="1245"/>
      <c r="T52" s="1245"/>
      <c r="U52" s="1245"/>
      <c r="V52" s="1245"/>
      <c r="W52" s="1207"/>
      <c r="X52" s="1207"/>
      <c r="Y52" s="1207"/>
      <c r="Z52" s="1207"/>
      <c r="AA52" s="1207"/>
      <c r="AB52" s="1207"/>
      <c r="AC52" s="1207"/>
      <c r="AD52" s="1207"/>
      <c r="AE52" s="1207"/>
      <c r="AF52" s="1207"/>
      <c r="AG52" s="1207"/>
      <c r="AH52" s="1207"/>
      <c r="AI52" s="1207"/>
      <c r="AJ52" s="1207"/>
      <c r="AK52" s="1207"/>
      <c r="AL52" s="1207"/>
      <c r="AM52" s="1207"/>
      <c r="AN52" s="1207"/>
      <c r="AO52" s="1207"/>
      <c r="AP52" s="1207"/>
      <c r="AQ52" s="1207"/>
      <c r="AR52" s="1207"/>
      <c r="AS52" s="1207"/>
      <c r="AT52" s="1207"/>
      <c r="AU52" s="1207"/>
      <c r="AV52" s="1207"/>
      <c r="AW52" s="1207"/>
      <c r="AX52" s="1207"/>
      <c r="AY52" s="1207"/>
      <c r="AZ52" s="1207"/>
      <c r="BA52" s="1207"/>
      <c r="BB52" s="1207"/>
      <c r="BC52" s="1207"/>
      <c r="BD52" s="1207"/>
      <c r="BE52" s="1207"/>
      <c r="BF52" s="1207"/>
      <c r="BG52" s="1207"/>
      <c r="BH52" s="1207"/>
      <c r="BI52" s="1207"/>
      <c r="BJ52" s="1207"/>
      <c r="BK52" s="1207"/>
      <c r="BL52" s="1207"/>
      <c r="BM52" s="1207"/>
      <c r="BN52" s="1207"/>
      <c r="BO52" s="1207"/>
      <c r="BP52" s="1207"/>
      <c r="BQ52" s="1207"/>
      <c r="BR52" s="1207"/>
      <c r="BS52" s="1207"/>
      <c r="BT52" s="1207"/>
      <c r="BU52" s="1207"/>
      <c r="BV52" s="1207"/>
      <c r="BW52" s="1207"/>
      <c r="BX52" s="1207"/>
      <c r="BY52" s="1207"/>
      <c r="BZ52" s="1207"/>
      <c r="CA52" s="1207"/>
    </row>
    <row r="53" spans="1:79" x14ac:dyDescent="0.25">
      <c r="A53" s="1211">
        <v>13</v>
      </c>
      <c r="B53" s="1262" t="s">
        <v>580</v>
      </c>
      <c r="C53" s="1194"/>
      <c r="D53" s="1263"/>
      <c r="E53" s="1268">
        <v>26.2</v>
      </c>
      <c r="F53" s="1268">
        <v>44.9</v>
      </c>
      <c r="G53" s="1268"/>
      <c r="H53" s="1268">
        <v>41.9</v>
      </c>
      <c r="I53" s="1268">
        <v>60.6</v>
      </c>
      <c r="J53" s="1268"/>
      <c r="K53" s="1268">
        <v>57.6</v>
      </c>
      <c r="L53" s="1268">
        <v>91.3</v>
      </c>
      <c r="M53" s="1268"/>
      <c r="N53" s="1268">
        <v>46.8</v>
      </c>
      <c r="O53" s="1268">
        <v>40.299999999999997</v>
      </c>
      <c r="P53" s="1268"/>
      <c r="Q53" s="1268">
        <v>102.6</v>
      </c>
      <c r="R53" s="1268">
        <v>114.7</v>
      </c>
      <c r="S53" s="1268">
        <v>113.4</v>
      </c>
      <c r="T53" s="1268"/>
      <c r="U53" s="1268">
        <v>84.9</v>
      </c>
      <c r="V53" s="1268">
        <v>91.7</v>
      </c>
      <c r="W53" s="1269"/>
      <c r="X53" s="1269"/>
      <c r="Y53" s="1269"/>
      <c r="Z53" s="1269"/>
      <c r="AA53" s="1269"/>
      <c r="AB53" s="1269"/>
      <c r="AC53" s="1269"/>
      <c r="AD53" s="1269"/>
      <c r="AE53" s="1269"/>
      <c r="AF53" s="1269"/>
      <c r="AG53" s="1269"/>
      <c r="AH53" s="1269"/>
      <c r="AI53" s="1269"/>
      <c r="AJ53" s="1269"/>
      <c r="AK53" s="1269"/>
      <c r="AL53" s="1269"/>
      <c r="AM53" s="1269"/>
      <c r="AN53" s="1269"/>
      <c r="AO53" s="1269"/>
      <c r="AP53" s="1269"/>
      <c r="AQ53" s="1269"/>
      <c r="AR53" s="1269"/>
      <c r="AS53" s="1269"/>
      <c r="AT53" s="1269"/>
      <c r="AU53" s="1269"/>
      <c r="AV53" s="1269"/>
      <c r="AW53" s="1269"/>
      <c r="AX53" s="1269"/>
      <c r="AY53" s="1269"/>
      <c r="AZ53" s="1269"/>
      <c r="BA53" s="1269"/>
      <c r="BB53" s="1269"/>
      <c r="BC53" s="1269"/>
      <c r="BD53" s="1269"/>
      <c r="BE53" s="1269"/>
      <c r="BF53" s="1269"/>
      <c r="BG53" s="1269"/>
      <c r="BH53" s="1269"/>
      <c r="BI53" s="1269"/>
      <c r="BJ53" s="1269"/>
      <c r="BK53" s="1269"/>
      <c r="BL53" s="1269"/>
      <c r="BM53" s="1269"/>
      <c r="BN53" s="1269"/>
      <c r="BO53" s="1269"/>
      <c r="BP53" s="1269"/>
      <c r="BQ53" s="1269"/>
      <c r="BR53" s="1269"/>
      <c r="BS53" s="1269"/>
      <c r="BT53" s="1269"/>
      <c r="BU53" s="1269"/>
      <c r="BV53" s="1269"/>
      <c r="BW53" s="1269"/>
      <c r="BX53" s="1269"/>
      <c r="BY53" s="1269"/>
      <c r="BZ53" s="1269"/>
      <c r="CA53" s="1269"/>
    </row>
    <row r="54" spans="1:79" x14ac:dyDescent="0.25">
      <c r="A54" s="1283"/>
      <c r="B54" s="1283"/>
      <c r="C54" s="1284"/>
      <c r="D54" s="1285"/>
      <c r="E54" s="1286"/>
      <c r="F54" s="1286"/>
      <c r="G54" s="1286"/>
      <c r="H54" s="1286"/>
      <c r="I54" s="1286"/>
      <c r="J54" s="1286"/>
      <c r="K54" s="1286"/>
      <c r="L54" s="1286"/>
      <c r="M54" s="1247"/>
      <c r="N54" s="1245"/>
      <c r="O54" s="1245"/>
      <c r="P54" s="1245"/>
      <c r="Q54" s="1245"/>
      <c r="R54" s="1245"/>
      <c r="S54" s="1245"/>
      <c r="T54" s="1245"/>
      <c r="U54" s="1245"/>
      <c r="V54" s="1245"/>
      <c r="W54" s="1207"/>
      <c r="X54" s="1207"/>
      <c r="Y54" s="1207"/>
      <c r="Z54" s="1207"/>
      <c r="AA54" s="1207"/>
      <c r="AB54" s="1207"/>
      <c r="AC54" s="1207"/>
      <c r="AD54" s="1207"/>
      <c r="AE54" s="1207"/>
      <c r="AF54" s="1207"/>
      <c r="AG54" s="1207"/>
      <c r="AH54" s="1207"/>
      <c r="AI54" s="1207"/>
      <c r="AJ54" s="1207"/>
      <c r="AK54" s="1207"/>
      <c r="AL54" s="1207"/>
      <c r="AM54" s="1207"/>
      <c r="AN54" s="1207"/>
      <c r="AO54" s="1207"/>
      <c r="AP54" s="1207"/>
      <c r="AQ54" s="1207"/>
      <c r="AR54" s="1207"/>
      <c r="AS54" s="1207"/>
      <c r="AT54" s="1207"/>
      <c r="AU54" s="1207"/>
      <c r="AV54" s="1207"/>
      <c r="AW54" s="1207"/>
      <c r="AX54" s="1207"/>
      <c r="AY54" s="1207"/>
      <c r="AZ54" s="1207"/>
      <c r="BA54" s="1207"/>
      <c r="BB54" s="1207"/>
      <c r="BC54" s="1207"/>
      <c r="BD54" s="1207"/>
      <c r="BE54" s="1207"/>
      <c r="BF54" s="1207"/>
      <c r="BG54" s="1207"/>
      <c r="BH54" s="1207"/>
      <c r="BI54" s="1207"/>
      <c r="BJ54" s="1207"/>
      <c r="BK54" s="1207"/>
      <c r="BL54" s="1207"/>
      <c r="BM54" s="1207"/>
      <c r="BN54" s="1207"/>
      <c r="BO54" s="1207"/>
      <c r="BP54" s="1207"/>
      <c r="BQ54" s="1207"/>
      <c r="BR54" s="1207"/>
      <c r="BS54" s="1207"/>
      <c r="BT54" s="1207"/>
      <c r="BU54" s="1207"/>
      <c r="BV54" s="1207"/>
      <c r="BW54" s="1207"/>
      <c r="BX54" s="1207"/>
      <c r="BY54" s="1207"/>
      <c r="BZ54" s="1207"/>
      <c r="CA54" s="1207"/>
    </row>
    <row r="55" spans="1:79" x14ac:dyDescent="0.25">
      <c r="A55" s="1182"/>
      <c r="B55" s="1182"/>
      <c r="C55" s="1188"/>
      <c r="D55" s="1193"/>
      <c r="E55" s="1248"/>
      <c r="F55" s="1248"/>
      <c r="G55" s="1248"/>
      <c r="H55" s="1248"/>
      <c r="I55" s="1248"/>
      <c r="J55" s="1248"/>
      <c r="K55" s="1248"/>
      <c r="L55" s="1248"/>
      <c r="M55" s="1248"/>
      <c r="N55" s="1249"/>
      <c r="O55" s="1249"/>
      <c r="P55" s="1249"/>
      <c r="Q55" s="1249"/>
      <c r="R55" s="1249"/>
      <c r="S55" s="1249"/>
      <c r="T55" s="1249"/>
      <c r="U55" s="1249"/>
      <c r="V55" s="1249"/>
      <c r="W55" s="1172"/>
      <c r="X55" s="1172"/>
      <c r="Y55" s="1172"/>
      <c r="Z55" s="1172"/>
      <c r="AA55" s="1172"/>
      <c r="AB55" s="1172"/>
      <c r="AC55" s="1172"/>
      <c r="AD55" s="1172"/>
      <c r="AE55" s="1172"/>
      <c r="AF55" s="1172"/>
      <c r="AG55" s="1172"/>
      <c r="AH55" s="1172"/>
      <c r="AI55" s="1172"/>
      <c r="AJ55" s="1172"/>
      <c r="AK55" s="1172"/>
      <c r="AL55" s="1172"/>
      <c r="AM55" s="1172"/>
      <c r="AN55" s="1172"/>
      <c r="AO55" s="1172"/>
      <c r="AP55" s="1172"/>
      <c r="AQ55" s="1172"/>
      <c r="AR55" s="1172"/>
      <c r="AS55" s="1172"/>
      <c r="AT55" s="1172"/>
      <c r="AU55" s="1172"/>
      <c r="AV55" s="1172"/>
      <c r="AW55" s="1172"/>
      <c r="AX55" s="1172"/>
      <c r="AY55" s="1172"/>
      <c r="AZ55" s="1172"/>
      <c r="BA55" s="1172"/>
      <c r="BB55" s="1172"/>
      <c r="BC55" s="1172"/>
      <c r="BD55" s="1172"/>
      <c r="BE55" s="1172"/>
      <c r="BF55" s="1172"/>
      <c r="BG55" s="1172"/>
      <c r="BH55" s="1172"/>
      <c r="BI55" s="1172"/>
      <c r="BJ55" s="1172"/>
      <c r="BK55" s="1172"/>
      <c r="BL55" s="1172"/>
      <c r="BM55" s="1172"/>
      <c r="BN55" s="1172"/>
      <c r="BO55" s="1172"/>
      <c r="BP55" s="1172"/>
      <c r="BQ55" s="1172"/>
      <c r="BR55" s="1172"/>
      <c r="BS55" s="1172"/>
      <c r="BT55" s="1172"/>
      <c r="BU55" s="1172"/>
      <c r="BV55" s="1172"/>
      <c r="BW55" s="1172"/>
      <c r="BX55" s="1172"/>
      <c r="BY55" s="1172"/>
      <c r="BZ55" s="1172"/>
      <c r="CA55" s="1172"/>
    </row>
    <row r="56" spans="1:79" x14ac:dyDescent="0.25">
      <c r="A56" s="1264" t="s">
        <v>526</v>
      </c>
      <c r="B56" s="1271"/>
      <c r="C56" s="1197"/>
      <c r="D56" s="1266"/>
      <c r="E56" s="1270">
        <v>220.3</v>
      </c>
      <c r="F56" s="1270">
        <v>358.8</v>
      </c>
      <c r="G56" s="1270"/>
      <c r="H56" s="1270">
        <v>324.2</v>
      </c>
      <c r="I56" s="1270">
        <v>553.29999999999995</v>
      </c>
      <c r="J56" s="1270"/>
      <c r="K56" s="1270">
        <v>384.1</v>
      </c>
      <c r="L56" s="1270">
        <v>665.2</v>
      </c>
      <c r="M56" s="1270"/>
      <c r="N56" s="1270">
        <v>436.7</v>
      </c>
      <c r="O56" s="1270">
        <v>427.1</v>
      </c>
      <c r="P56" s="1270"/>
      <c r="Q56" s="1270">
        <v>684.1</v>
      </c>
      <c r="R56" s="1270">
        <v>793.6</v>
      </c>
      <c r="S56" s="1270">
        <v>805.9</v>
      </c>
      <c r="T56" s="1270"/>
      <c r="U56" s="1270">
        <v>748.1</v>
      </c>
      <c r="V56" s="1270">
        <v>747.4</v>
      </c>
      <c r="W56" s="1269"/>
      <c r="X56" s="1269"/>
      <c r="Y56" s="1269"/>
      <c r="Z56" s="1269"/>
      <c r="AA56" s="1269"/>
      <c r="AB56" s="1269"/>
      <c r="AC56" s="1269"/>
      <c r="AD56" s="1269"/>
      <c r="AE56" s="1269"/>
      <c r="AF56" s="1269"/>
      <c r="AG56" s="1269"/>
      <c r="AH56" s="1269"/>
      <c r="AI56" s="1269"/>
      <c r="AJ56" s="1269"/>
      <c r="AK56" s="1269"/>
      <c r="AL56" s="1269"/>
      <c r="AM56" s="1269"/>
      <c r="AN56" s="1269"/>
      <c r="AO56" s="1269"/>
      <c r="AP56" s="1269"/>
      <c r="AQ56" s="1269"/>
      <c r="AR56" s="1269"/>
      <c r="AS56" s="1269"/>
      <c r="AT56" s="1269"/>
      <c r="AU56" s="1269"/>
      <c r="AV56" s="1269"/>
      <c r="AW56" s="1269"/>
      <c r="AX56" s="1269"/>
      <c r="AY56" s="1269"/>
      <c r="AZ56" s="1269"/>
      <c r="BA56" s="1269"/>
      <c r="BB56" s="1269"/>
      <c r="BC56" s="1269"/>
      <c r="BD56" s="1269"/>
      <c r="BE56" s="1269"/>
      <c r="BF56" s="1269"/>
      <c r="BG56" s="1269"/>
      <c r="BH56" s="1269"/>
      <c r="BI56" s="1269"/>
      <c r="BJ56" s="1269"/>
      <c r="BK56" s="1269"/>
      <c r="BL56" s="1269"/>
      <c r="BM56" s="1269"/>
      <c r="BN56" s="1269"/>
      <c r="BO56" s="1269"/>
      <c r="BP56" s="1269"/>
      <c r="BQ56" s="1269"/>
      <c r="BR56" s="1269"/>
      <c r="BS56" s="1269"/>
      <c r="BT56" s="1269"/>
      <c r="BU56" s="1269"/>
      <c r="BV56" s="1269"/>
      <c r="BW56" s="1269"/>
      <c r="BX56" s="1269"/>
      <c r="BY56" s="1269"/>
      <c r="BZ56" s="1269"/>
      <c r="CA56" s="1269"/>
    </row>
    <row r="57" spans="1:79" x14ac:dyDescent="0.25">
      <c r="A57" s="1287"/>
      <c r="B57" s="1288"/>
      <c r="C57" s="1289"/>
      <c r="D57" s="1289"/>
      <c r="E57" s="1290"/>
      <c r="F57" s="1290"/>
      <c r="G57" s="1290"/>
      <c r="H57" s="1290"/>
      <c r="I57" s="1290"/>
      <c r="J57" s="1290"/>
      <c r="K57" s="1290"/>
      <c r="L57" s="1290"/>
      <c r="M57" s="1290"/>
      <c r="N57" s="1290"/>
      <c r="O57" s="1290"/>
      <c r="P57" s="1290"/>
      <c r="Q57" s="1290"/>
      <c r="R57" s="1290"/>
      <c r="S57" s="1290"/>
      <c r="T57" s="1290"/>
      <c r="U57" s="1290"/>
      <c r="V57" s="1290"/>
      <c r="W57" s="1208"/>
      <c r="X57" s="1208"/>
      <c r="Y57" s="1208"/>
      <c r="Z57" s="1208"/>
      <c r="AA57" s="1208"/>
      <c r="AB57" s="1208"/>
      <c r="AC57" s="1208"/>
      <c r="AD57" s="1208"/>
      <c r="AE57" s="1208"/>
      <c r="AF57" s="1208"/>
      <c r="AG57" s="1208"/>
      <c r="AH57" s="1208"/>
      <c r="AI57" s="1208"/>
      <c r="AJ57" s="1208"/>
      <c r="AK57" s="1208"/>
      <c r="AL57" s="1208"/>
      <c r="AM57" s="1208"/>
      <c r="AN57" s="1208"/>
      <c r="AO57" s="1208"/>
      <c r="AP57" s="1208"/>
      <c r="AQ57" s="1208"/>
      <c r="AR57" s="1208"/>
      <c r="AS57" s="1208"/>
      <c r="AT57" s="1208"/>
      <c r="AU57" s="1208"/>
      <c r="AV57" s="1208"/>
      <c r="AW57" s="1208"/>
      <c r="AX57" s="1208"/>
      <c r="AY57" s="1208"/>
      <c r="AZ57" s="1208"/>
      <c r="BA57" s="1208"/>
      <c r="BB57" s="1208"/>
      <c r="BC57" s="1208"/>
      <c r="BD57" s="1208"/>
      <c r="BE57" s="1208"/>
      <c r="BF57" s="1208"/>
      <c r="BG57" s="1208"/>
      <c r="BH57" s="1208"/>
      <c r="BI57" s="1208"/>
      <c r="BJ57" s="1208"/>
      <c r="BK57" s="1208"/>
      <c r="BL57" s="1208"/>
      <c r="BM57" s="1208"/>
      <c r="BN57" s="1208"/>
      <c r="BO57" s="1208"/>
      <c r="BP57" s="1208"/>
      <c r="BQ57" s="1208"/>
      <c r="BR57" s="1208"/>
      <c r="BS57" s="1208"/>
      <c r="BT57" s="1208"/>
      <c r="BU57" s="1208"/>
      <c r="BV57" s="1208"/>
      <c r="BW57" s="1208"/>
      <c r="BX57" s="1208"/>
      <c r="BY57" s="1208"/>
      <c r="BZ57" s="1208"/>
      <c r="CA57" s="1208"/>
    </row>
    <row r="58" spans="1:79" x14ac:dyDescent="0.25">
      <c r="A58" s="1198"/>
      <c r="B58" s="1199"/>
      <c r="C58" s="1200"/>
      <c r="D58" s="1200"/>
      <c r="E58" s="1240"/>
      <c r="F58" s="1240"/>
      <c r="G58" s="1240"/>
      <c r="H58" s="1240"/>
      <c r="I58" s="1240"/>
      <c r="J58" s="1240"/>
      <c r="K58" s="1240"/>
      <c r="L58" s="1240"/>
      <c r="M58" s="1240"/>
      <c r="N58" s="1240"/>
      <c r="O58" s="1240"/>
      <c r="P58" s="1240"/>
      <c r="Q58" s="1240"/>
      <c r="R58" s="1240"/>
      <c r="S58" s="1240"/>
      <c r="T58" s="1240"/>
      <c r="U58" s="1240"/>
      <c r="V58" s="1240"/>
      <c r="W58" s="1208"/>
      <c r="X58" s="1208"/>
      <c r="Y58" s="1208"/>
      <c r="Z58" s="1208"/>
      <c r="AA58" s="1208"/>
      <c r="AB58" s="1208"/>
      <c r="AC58" s="1208"/>
      <c r="AD58" s="1208"/>
      <c r="AE58" s="1208"/>
      <c r="AF58" s="1208"/>
      <c r="AG58" s="1208"/>
      <c r="AH58" s="1208"/>
      <c r="AI58" s="1208"/>
      <c r="AJ58" s="1208"/>
      <c r="AK58" s="1208"/>
      <c r="AL58" s="1208"/>
      <c r="AM58" s="1208"/>
      <c r="AN58" s="1208"/>
      <c r="AO58" s="1208"/>
      <c r="AP58" s="1208"/>
      <c r="AQ58" s="1208"/>
      <c r="AR58" s="1208"/>
      <c r="AS58" s="1208"/>
      <c r="AT58" s="1208"/>
      <c r="AU58" s="1208"/>
      <c r="AV58" s="1208"/>
      <c r="AW58" s="1208"/>
      <c r="AX58" s="1208"/>
      <c r="AY58" s="1208"/>
      <c r="AZ58" s="1208"/>
      <c r="BA58" s="1208"/>
      <c r="BB58" s="1208"/>
      <c r="BC58" s="1208"/>
      <c r="BD58" s="1208"/>
      <c r="BE58" s="1208"/>
      <c r="BF58" s="1208"/>
      <c r="BG58" s="1208"/>
      <c r="BH58" s="1208"/>
      <c r="BI58" s="1208"/>
      <c r="BJ58" s="1208"/>
      <c r="BK58" s="1208"/>
      <c r="BL58" s="1208"/>
      <c r="BM58" s="1208"/>
      <c r="BN58" s="1208"/>
      <c r="BO58" s="1208"/>
      <c r="BP58" s="1208"/>
      <c r="BQ58" s="1208"/>
      <c r="BR58" s="1208"/>
      <c r="BS58" s="1208"/>
      <c r="BT58" s="1208"/>
      <c r="BU58" s="1208"/>
      <c r="BV58" s="1208"/>
      <c r="BW58" s="1208"/>
      <c r="BX58" s="1208"/>
      <c r="BY58" s="1208"/>
      <c r="BZ58" s="1208"/>
      <c r="CA58" s="1208"/>
    </row>
    <row r="59" spans="1:79" x14ac:dyDescent="0.25">
      <c r="A59" s="1201" t="s">
        <v>611</v>
      </c>
      <c r="B59" s="1201"/>
      <c r="C59" s="1196"/>
      <c r="D59" s="1197"/>
      <c r="E59" s="1240"/>
      <c r="F59" s="1240"/>
      <c r="G59" s="1240"/>
      <c r="H59" s="1240"/>
      <c r="I59" s="1240"/>
      <c r="J59" s="1240"/>
      <c r="K59" s="1240"/>
      <c r="L59" s="1240"/>
      <c r="M59" s="1240"/>
      <c r="N59" s="1240"/>
      <c r="O59" s="1240"/>
      <c r="P59" s="1240"/>
      <c r="Q59" s="1240"/>
      <c r="R59" s="1240"/>
      <c r="S59" s="1240"/>
      <c r="T59" s="1240"/>
      <c r="U59" s="1240"/>
      <c r="V59" s="1240"/>
      <c r="W59" s="1208"/>
      <c r="X59" s="1208"/>
      <c r="Y59" s="1208"/>
      <c r="Z59" s="1208"/>
      <c r="AA59" s="1208"/>
      <c r="AB59" s="1208"/>
      <c r="AC59" s="1208"/>
      <c r="AD59" s="1208"/>
      <c r="AE59" s="1208"/>
      <c r="AF59" s="1208"/>
      <c r="AG59" s="1208"/>
      <c r="AH59" s="1208"/>
      <c r="AI59" s="1208"/>
      <c r="AJ59" s="1208"/>
      <c r="AK59" s="1208"/>
      <c r="AL59" s="1208"/>
      <c r="AM59" s="1208"/>
      <c r="AN59" s="1208"/>
      <c r="AO59" s="1208"/>
      <c r="AP59" s="1208"/>
      <c r="AQ59" s="1208"/>
      <c r="AR59" s="1208"/>
      <c r="AS59" s="1208"/>
      <c r="AT59" s="1208"/>
      <c r="AU59" s="1208"/>
      <c r="AV59" s="1208"/>
      <c r="AW59" s="1208"/>
      <c r="AX59" s="1208"/>
      <c r="AY59" s="1208"/>
      <c r="AZ59" s="1208"/>
      <c r="BA59" s="1208"/>
      <c r="BB59" s="1208"/>
      <c r="BC59" s="1208"/>
      <c r="BD59" s="1208"/>
      <c r="BE59" s="1208"/>
      <c r="BF59" s="1208"/>
      <c r="BG59" s="1208"/>
      <c r="BH59" s="1208"/>
      <c r="BI59" s="1208"/>
      <c r="BJ59" s="1208"/>
      <c r="BK59" s="1208"/>
      <c r="BL59" s="1208"/>
      <c r="BM59" s="1208"/>
      <c r="BN59" s="1208"/>
      <c r="BO59" s="1208"/>
      <c r="BP59" s="1208"/>
      <c r="BQ59" s="1208"/>
      <c r="BR59" s="1208"/>
      <c r="BS59" s="1208"/>
      <c r="BT59" s="1208"/>
      <c r="BU59" s="1208"/>
      <c r="BV59" s="1208"/>
      <c r="BW59" s="1208"/>
      <c r="BX59" s="1208"/>
      <c r="BY59" s="1208"/>
      <c r="BZ59" s="1208"/>
      <c r="CA59" s="1208"/>
    </row>
    <row r="60" spans="1:79" x14ac:dyDescent="0.25">
      <c r="A60" s="1265" t="s">
        <v>526</v>
      </c>
      <c r="B60" s="1264"/>
      <c r="C60" s="1271"/>
      <c r="D60" s="1266"/>
      <c r="E60" s="1270">
        <v>220.3</v>
      </c>
      <c r="F60" s="1270">
        <v>179.4</v>
      </c>
      <c r="G60" s="1270"/>
      <c r="H60" s="1270">
        <v>324.2</v>
      </c>
      <c r="I60" s="1270">
        <v>276.7</v>
      </c>
      <c r="J60" s="1270"/>
      <c r="K60" s="1270">
        <v>384.1</v>
      </c>
      <c r="L60" s="1270">
        <v>332.6</v>
      </c>
      <c r="M60" s="1270"/>
      <c r="N60" s="1270">
        <v>218.4</v>
      </c>
      <c r="O60" s="1270">
        <v>128.4</v>
      </c>
      <c r="P60" s="1270"/>
      <c r="Q60" s="1270">
        <v>228</v>
      </c>
      <c r="R60" s="1270">
        <v>198.4</v>
      </c>
      <c r="S60" s="1270">
        <v>148.30000000000001</v>
      </c>
      <c r="T60" s="1270"/>
      <c r="U60" s="1270">
        <v>221.1</v>
      </c>
      <c r="V60" s="1270">
        <v>150.6</v>
      </c>
      <c r="W60" s="1269"/>
      <c r="X60" s="1269"/>
      <c r="Y60" s="1269"/>
      <c r="Z60" s="1269"/>
      <c r="AA60" s="1269"/>
      <c r="AB60" s="1269"/>
      <c r="AC60" s="1269"/>
      <c r="AD60" s="1269"/>
      <c r="AE60" s="1269"/>
      <c r="AF60" s="1269"/>
      <c r="AG60" s="1269"/>
      <c r="AH60" s="1269"/>
      <c r="AI60" s="1269"/>
      <c r="AJ60" s="1269"/>
      <c r="AK60" s="1269"/>
      <c r="AL60" s="1269"/>
      <c r="AM60" s="1269"/>
      <c r="AN60" s="1269"/>
      <c r="AO60" s="1269"/>
      <c r="AP60" s="1269"/>
      <c r="AQ60" s="1269"/>
      <c r="AR60" s="1269"/>
      <c r="AS60" s="1269"/>
      <c r="AT60" s="1269"/>
      <c r="AU60" s="1269"/>
      <c r="AV60" s="1269"/>
      <c r="AW60" s="1269"/>
      <c r="AX60" s="1269"/>
      <c r="AY60" s="1269"/>
      <c r="AZ60" s="1269"/>
      <c r="BA60" s="1269"/>
      <c r="BB60" s="1269"/>
      <c r="BC60" s="1269"/>
      <c r="BD60" s="1269"/>
      <c r="BE60" s="1269"/>
      <c r="BF60" s="1269"/>
      <c r="BG60" s="1269"/>
      <c r="BH60" s="1269"/>
      <c r="BI60" s="1269"/>
      <c r="BJ60" s="1269"/>
      <c r="BK60" s="1269"/>
      <c r="BL60" s="1269"/>
      <c r="BM60" s="1269"/>
      <c r="BN60" s="1269"/>
      <c r="BO60" s="1269"/>
      <c r="BP60" s="1269"/>
      <c r="BQ60" s="1269"/>
      <c r="BR60" s="1269"/>
      <c r="BS60" s="1269"/>
      <c r="BT60" s="1269"/>
      <c r="BU60" s="1269"/>
      <c r="BV60" s="1269"/>
      <c r="BW60" s="1269"/>
      <c r="BX60" s="1269"/>
      <c r="BY60" s="1269"/>
      <c r="BZ60" s="1269"/>
      <c r="CA60" s="1269"/>
    </row>
    <row r="61" spans="1:79" x14ac:dyDescent="0.25">
      <c r="A61" s="1283"/>
      <c r="B61" s="1283"/>
      <c r="C61" s="1291"/>
      <c r="D61" s="1284"/>
      <c r="E61" s="1292"/>
      <c r="F61" s="1292"/>
      <c r="G61" s="1292"/>
      <c r="H61" s="1292"/>
      <c r="I61" s="1292"/>
      <c r="J61" s="1292"/>
      <c r="K61" s="1292"/>
      <c r="L61" s="1292"/>
      <c r="M61" s="1292"/>
      <c r="N61" s="1292"/>
      <c r="O61" s="1293"/>
      <c r="P61" s="1293"/>
      <c r="Q61" s="1293"/>
      <c r="R61" s="1292"/>
      <c r="S61" s="1292"/>
      <c r="T61" s="1292"/>
      <c r="U61" s="1292"/>
      <c r="V61" s="1292"/>
      <c r="W61" s="1208"/>
      <c r="X61" s="1208"/>
      <c r="Y61" s="1208"/>
      <c r="Z61" s="1208"/>
      <c r="AA61" s="1208"/>
      <c r="AB61" s="1208"/>
      <c r="AC61" s="1208"/>
      <c r="AD61" s="1208"/>
      <c r="AE61" s="1208"/>
      <c r="AF61" s="1208"/>
      <c r="AG61" s="1208"/>
      <c r="AH61" s="1208"/>
      <c r="AI61" s="1208"/>
      <c r="AJ61" s="1208"/>
      <c r="AK61" s="1208"/>
      <c r="AL61" s="1208"/>
      <c r="AM61" s="1208"/>
      <c r="AN61" s="1208"/>
      <c r="AO61" s="1208"/>
      <c r="AP61" s="1208"/>
      <c r="AQ61" s="1208"/>
      <c r="AR61" s="1208"/>
      <c r="AS61" s="1208"/>
      <c r="AT61" s="1208"/>
      <c r="AU61" s="1208"/>
      <c r="AV61" s="1208"/>
      <c r="AW61" s="1208"/>
      <c r="AX61" s="1208"/>
      <c r="AY61" s="1208"/>
      <c r="AZ61" s="1208"/>
      <c r="BA61" s="1208"/>
      <c r="BB61" s="1208"/>
      <c r="BC61" s="1208"/>
      <c r="BD61" s="1208"/>
      <c r="BE61" s="1208"/>
      <c r="BF61" s="1208"/>
      <c r="BG61" s="1208"/>
      <c r="BH61" s="1208"/>
      <c r="BI61" s="1208"/>
      <c r="BJ61" s="1208"/>
      <c r="BK61" s="1208"/>
      <c r="BL61" s="1208"/>
      <c r="BM61" s="1208"/>
      <c r="BN61" s="1208"/>
      <c r="BO61" s="1208"/>
      <c r="BP61" s="1208"/>
      <c r="BQ61" s="1208"/>
      <c r="BR61" s="1208"/>
      <c r="BS61" s="1208"/>
      <c r="BT61" s="1208"/>
      <c r="BU61" s="1208"/>
      <c r="BV61" s="1208"/>
      <c r="BW61" s="1208"/>
      <c r="BX61" s="1208"/>
      <c r="BY61" s="1208"/>
      <c r="BZ61" s="1208"/>
      <c r="CA61" s="1208"/>
    </row>
    <row r="62" spans="1:79" x14ac:dyDescent="0.25">
      <c r="A62" s="1182"/>
      <c r="B62" s="1182"/>
      <c r="C62" s="1195"/>
      <c r="D62" s="1188"/>
      <c r="E62" s="1250"/>
      <c r="F62" s="1250"/>
      <c r="G62" s="1250"/>
      <c r="H62" s="1250"/>
      <c r="I62" s="1250"/>
      <c r="J62" s="1250"/>
      <c r="K62" s="1250"/>
      <c r="L62" s="1251"/>
      <c r="M62" s="1251"/>
      <c r="N62" s="1251"/>
      <c r="O62" s="1251"/>
      <c r="P62" s="1251"/>
      <c r="Q62" s="1251"/>
      <c r="R62" s="1251"/>
      <c r="S62" s="1251"/>
      <c r="T62" s="1251"/>
      <c r="U62" s="1251"/>
      <c r="V62" s="1251"/>
      <c r="W62" s="1183"/>
      <c r="X62" s="1183"/>
      <c r="Y62" s="1183"/>
      <c r="Z62" s="1183"/>
      <c r="AA62" s="1183"/>
      <c r="AB62" s="1183"/>
      <c r="AC62" s="1183"/>
      <c r="AD62" s="1183"/>
      <c r="AE62" s="1183"/>
      <c r="AF62" s="1183"/>
      <c r="AG62" s="1183"/>
      <c r="AH62" s="1183"/>
      <c r="AI62" s="1183"/>
      <c r="AJ62" s="1183"/>
      <c r="AK62" s="1183"/>
      <c r="AL62" s="1183"/>
      <c r="AM62" s="1183"/>
      <c r="AN62" s="1183"/>
      <c r="AO62" s="1183"/>
      <c r="AP62" s="1183"/>
      <c r="AQ62" s="1183"/>
      <c r="AR62" s="1183"/>
      <c r="AS62" s="1183"/>
      <c r="AT62" s="1183"/>
      <c r="AU62" s="1183"/>
      <c r="AV62" s="1183"/>
      <c r="AW62" s="1183"/>
      <c r="AX62" s="1183"/>
      <c r="AY62" s="1183"/>
      <c r="AZ62" s="1183"/>
      <c r="BA62" s="1183"/>
      <c r="BB62" s="1183"/>
      <c r="BC62" s="1183"/>
      <c r="BD62" s="1183"/>
      <c r="BE62" s="1183"/>
      <c r="BF62" s="1183"/>
      <c r="BG62" s="1183"/>
      <c r="BH62" s="1183"/>
      <c r="BI62" s="1183"/>
      <c r="BJ62" s="1183"/>
      <c r="BK62" s="1183"/>
      <c r="BL62" s="1183"/>
      <c r="BM62" s="1183"/>
      <c r="BN62" s="1183"/>
      <c r="BO62" s="1183"/>
      <c r="BP62" s="1183"/>
      <c r="BQ62" s="1183"/>
      <c r="BR62" s="1183"/>
      <c r="BS62" s="1183"/>
      <c r="BT62" s="1183"/>
      <c r="BU62" s="1183"/>
      <c r="BV62" s="1183"/>
      <c r="BW62" s="1183"/>
      <c r="BX62" s="1183"/>
      <c r="BY62" s="1183"/>
      <c r="BZ62" s="1183"/>
      <c r="CA62" s="1183"/>
    </row>
    <row r="63" spans="1:79" x14ac:dyDescent="0.25">
      <c r="A63" s="1215" t="s">
        <v>612</v>
      </c>
      <c r="B63" s="1192"/>
      <c r="C63" s="1218"/>
      <c r="D63" s="1192"/>
      <c r="E63" s="1221"/>
      <c r="F63" s="1221"/>
      <c r="G63" s="1221"/>
      <c r="H63" s="1221"/>
      <c r="I63" s="1221"/>
      <c r="J63" s="1221"/>
      <c r="K63" s="1221"/>
      <c r="L63" s="1227"/>
      <c r="M63" s="1227"/>
      <c r="N63" s="1221"/>
      <c r="O63" s="1221"/>
      <c r="P63" s="1221"/>
      <c r="Q63" s="1221"/>
      <c r="R63" s="1221"/>
      <c r="S63" s="1221"/>
      <c r="T63" s="1221"/>
      <c r="U63" s="1221"/>
      <c r="V63" s="1221"/>
      <c r="W63" s="1208"/>
      <c r="X63" s="1208"/>
      <c r="Y63" s="1208"/>
      <c r="Z63" s="1208"/>
      <c r="AA63" s="1208"/>
      <c r="AB63" s="1208"/>
      <c r="AC63" s="1208"/>
      <c r="AD63" s="1208"/>
      <c r="AE63" s="1208"/>
      <c r="AF63" s="1208"/>
      <c r="AG63" s="1208"/>
      <c r="AH63" s="1208"/>
      <c r="AI63" s="1208"/>
      <c r="AJ63" s="1208"/>
      <c r="AK63" s="1208"/>
      <c r="AL63" s="1208"/>
      <c r="AM63" s="1208"/>
      <c r="AN63" s="1208"/>
      <c r="AO63" s="1208"/>
      <c r="AP63" s="1208"/>
      <c r="AQ63" s="1208"/>
      <c r="AR63" s="1208"/>
      <c r="AS63" s="1208"/>
      <c r="AT63" s="1208"/>
      <c r="AU63" s="1208"/>
      <c r="AV63" s="1208"/>
      <c r="AW63" s="1208"/>
      <c r="AX63" s="1208"/>
      <c r="AY63" s="1208"/>
      <c r="AZ63" s="1208"/>
      <c r="BA63" s="1208"/>
      <c r="BB63" s="1208"/>
      <c r="BC63" s="1208"/>
      <c r="BD63" s="1208"/>
      <c r="BE63" s="1208"/>
      <c r="BF63" s="1208"/>
      <c r="BG63" s="1208"/>
      <c r="BH63" s="1208"/>
      <c r="BI63" s="1208"/>
      <c r="BJ63" s="1208"/>
      <c r="BK63" s="1208"/>
      <c r="BL63" s="1208"/>
      <c r="BM63" s="1208"/>
      <c r="BN63" s="1208"/>
      <c r="BO63" s="1208"/>
      <c r="BP63" s="1208"/>
      <c r="BQ63" s="1208"/>
      <c r="BR63" s="1208"/>
      <c r="BS63" s="1208"/>
      <c r="BT63" s="1208"/>
      <c r="BU63" s="1208"/>
      <c r="BV63" s="1208"/>
      <c r="BW63" s="1208"/>
      <c r="BX63" s="1208"/>
      <c r="BY63" s="1208"/>
      <c r="BZ63" s="1208"/>
      <c r="CA63" s="1208"/>
    </row>
    <row r="64" spans="1:79" x14ac:dyDescent="0.25">
      <c r="A64" s="1174" t="s">
        <v>613</v>
      </c>
      <c r="B64" s="1210"/>
      <c r="C64" s="1214"/>
      <c r="D64" s="1214"/>
      <c r="E64" s="1252"/>
      <c r="F64" s="1252"/>
      <c r="G64" s="1252"/>
      <c r="H64" s="1252"/>
      <c r="I64" s="1252"/>
      <c r="J64" s="1252"/>
      <c r="K64" s="1252"/>
      <c r="L64" s="1227"/>
      <c r="M64" s="1227"/>
      <c r="N64" s="1252"/>
      <c r="O64" s="1252"/>
      <c r="P64" s="1252"/>
      <c r="Q64" s="1252"/>
      <c r="R64" s="1252"/>
      <c r="S64" s="1252"/>
      <c r="T64" s="1252"/>
      <c r="U64" s="1252"/>
      <c r="V64" s="1252"/>
      <c r="W64" s="1208"/>
      <c r="X64" s="1208"/>
      <c r="Y64" s="1208"/>
      <c r="Z64" s="1208"/>
      <c r="AA64" s="1208"/>
      <c r="AB64" s="1208"/>
      <c r="AC64" s="1208"/>
      <c r="AD64" s="1208"/>
      <c r="AE64" s="1208"/>
      <c r="AF64" s="1208"/>
      <c r="AG64" s="1208"/>
      <c r="AH64" s="1208"/>
      <c r="AI64" s="1208"/>
      <c r="AJ64" s="1208"/>
      <c r="AK64" s="1208"/>
      <c r="AL64" s="1208"/>
      <c r="AM64" s="1208"/>
      <c r="AN64" s="1208"/>
      <c r="AO64" s="1208"/>
      <c r="AP64" s="1208"/>
      <c r="AQ64" s="1208"/>
      <c r="AR64" s="1208"/>
      <c r="AS64" s="1208"/>
      <c r="AT64" s="1208"/>
      <c r="AU64" s="1208"/>
      <c r="AV64" s="1208"/>
      <c r="AW64" s="1208"/>
      <c r="AX64" s="1208"/>
      <c r="AY64" s="1208"/>
      <c r="AZ64" s="1208"/>
      <c r="BA64" s="1208"/>
      <c r="BB64" s="1208"/>
      <c r="BC64" s="1208"/>
      <c r="BD64" s="1208"/>
      <c r="BE64" s="1208"/>
      <c r="BF64" s="1208"/>
      <c r="BG64" s="1208"/>
      <c r="BH64" s="1208"/>
      <c r="BI64" s="1208"/>
      <c r="BJ64" s="1208"/>
      <c r="BK64" s="1208"/>
      <c r="BL64" s="1208"/>
      <c r="BM64" s="1208"/>
      <c r="BN64" s="1208"/>
      <c r="BO64" s="1208"/>
      <c r="BP64" s="1208"/>
      <c r="BQ64" s="1208"/>
      <c r="BR64" s="1208"/>
      <c r="BS64" s="1208"/>
      <c r="BT64" s="1208"/>
      <c r="BU64" s="1208"/>
      <c r="BV64" s="1208"/>
      <c r="BW64" s="1208"/>
      <c r="BX64" s="1208"/>
      <c r="BY64" s="1208"/>
      <c r="BZ64" s="1208"/>
      <c r="CA64" s="1208"/>
    </row>
    <row r="65" spans="1:79" x14ac:dyDescent="0.25">
      <c r="A65" s="1273" t="s">
        <v>614</v>
      </c>
      <c r="B65" s="1210"/>
      <c r="C65" s="1214"/>
      <c r="D65" s="1214"/>
      <c r="E65" s="1252"/>
      <c r="F65" s="1252"/>
      <c r="G65" s="1252"/>
      <c r="H65" s="1252"/>
      <c r="I65" s="1252"/>
      <c r="J65" s="1252"/>
      <c r="K65" s="1252"/>
      <c r="L65" s="1227"/>
      <c r="M65" s="1227"/>
      <c r="N65" s="1252"/>
      <c r="O65" s="1252"/>
      <c r="P65" s="1252"/>
      <c r="Q65" s="1252"/>
      <c r="R65" s="1252"/>
      <c r="S65" s="1252"/>
      <c r="T65" s="1252"/>
      <c r="U65" s="1252"/>
      <c r="V65" s="1252"/>
      <c r="W65" s="1208"/>
      <c r="X65" s="1208"/>
      <c r="Y65" s="1208"/>
      <c r="Z65" s="1208"/>
      <c r="AA65" s="1208"/>
      <c r="AB65" s="1208"/>
      <c r="AC65" s="1208"/>
      <c r="AD65" s="1208"/>
      <c r="AE65" s="1208"/>
      <c r="AF65" s="1208"/>
      <c r="AG65" s="1208"/>
      <c r="AH65" s="1208"/>
      <c r="AI65" s="1208"/>
      <c r="AJ65" s="1208"/>
      <c r="AK65" s="1208"/>
      <c r="AL65" s="1208"/>
      <c r="AM65" s="1208"/>
      <c r="AN65" s="1208"/>
      <c r="AO65" s="1208"/>
      <c r="AP65" s="1208"/>
      <c r="AQ65" s="1208"/>
      <c r="AR65" s="1208"/>
      <c r="AS65" s="1208"/>
      <c r="AT65" s="1208"/>
      <c r="AU65" s="1208"/>
      <c r="AV65" s="1208"/>
      <c r="AW65" s="1208"/>
      <c r="AX65" s="1208"/>
      <c r="AY65" s="1208"/>
      <c r="AZ65" s="1208"/>
      <c r="BA65" s="1208"/>
      <c r="BB65" s="1208"/>
      <c r="BC65" s="1208"/>
      <c r="BD65" s="1208"/>
      <c r="BE65" s="1208"/>
      <c r="BF65" s="1208"/>
      <c r="BG65" s="1208"/>
      <c r="BH65" s="1208"/>
      <c r="BI65" s="1208"/>
      <c r="BJ65" s="1208"/>
      <c r="BK65" s="1208"/>
      <c r="BL65" s="1208"/>
      <c r="BM65" s="1208"/>
      <c r="BN65" s="1208"/>
      <c r="BO65" s="1208"/>
      <c r="BP65" s="1208"/>
      <c r="BQ65" s="1208"/>
      <c r="BR65" s="1208"/>
      <c r="BS65" s="1208"/>
      <c r="BT65" s="1208"/>
      <c r="BU65" s="1208"/>
      <c r="BV65" s="1208"/>
      <c r="BW65" s="1208"/>
      <c r="BX65" s="1208"/>
      <c r="BY65" s="1208"/>
      <c r="BZ65" s="1208"/>
      <c r="CA65" s="1208"/>
    </row>
    <row r="66" spans="1:79" x14ac:dyDescent="0.25">
      <c r="A66" s="1209" t="s">
        <v>615</v>
      </c>
      <c r="B66" s="1213"/>
      <c r="C66" s="1214"/>
      <c r="D66" s="1214"/>
      <c r="E66" s="1252"/>
      <c r="F66" s="1252"/>
      <c r="G66" s="1252"/>
      <c r="H66" s="1252"/>
      <c r="I66" s="1252"/>
      <c r="J66" s="1252"/>
      <c r="K66" s="1252"/>
      <c r="L66" s="1227"/>
      <c r="M66" s="1227"/>
      <c r="N66" s="1252"/>
      <c r="O66" s="1252"/>
      <c r="P66" s="1252"/>
      <c r="Q66" s="1252"/>
      <c r="R66" s="1252"/>
      <c r="S66" s="1252"/>
      <c r="T66" s="1252"/>
      <c r="U66" s="1252"/>
      <c r="V66" s="1243"/>
      <c r="W66" s="1208"/>
      <c r="X66" s="1208"/>
      <c r="Y66" s="1208"/>
      <c r="Z66" s="1208"/>
      <c r="AA66" s="1208"/>
      <c r="AB66" s="1208"/>
      <c r="AC66" s="1208"/>
      <c r="AD66" s="1208"/>
      <c r="AE66" s="1208"/>
      <c r="AF66" s="1208"/>
      <c r="AG66" s="1208"/>
      <c r="AH66" s="1208"/>
      <c r="AI66" s="1208"/>
      <c r="AJ66" s="1208"/>
      <c r="AK66" s="1208"/>
      <c r="AL66" s="1208"/>
      <c r="AM66" s="1208"/>
      <c r="AN66" s="1208"/>
      <c r="AO66" s="1208"/>
      <c r="AP66" s="1208"/>
      <c r="AQ66" s="1208"/>
      <c r="AR66" s="1208"/>
      <c r="AS66" s="1208"/>
      <c r="AT66" s="1208"/>
      <c r="AU66" s="1208"/>
      <c r="AV66" s="1208"/>
      <c r="AW66" s="1208"/>
      <c r="AX66" s="1208"/>
      <c r="AY66" s="1208"/>
      <c r="AZ66" s="1208"/>
      <c r="BA66" s="1208"/>
      <c r="BB66" s="1208"/>
      <c r="BC66" s="1208"/>
      <c r="BD66" s="1208"/>
      <c r="BE66" s="1208"/>
      <c r="BF66" s="1208"/>
      <c r="BG66" s="1208"/>
      <c r="BH66" s="1208"/>
      <c r="BI66" s="1208"/>
      <c r="BJ66" s="1208"/>
      <c r="BK66" s="1208"/>
      <c r="BL66" s="1208"/>
      <c r="BM66" s="1208"/>
      <c r="BN66" s="1208"/>
      <c r="BO66" s="1208"/>
      <c r="BP66" s="1208"/>
      <c r="BQ66" s="1208"/>
      <c r="BR66" s="1208"/>
      <c r="BS66" s="1208"/>
      <c r="BT66" s="1208"/>
      <c r="BU66" s="1208"/>
      <c r="BV66" s="1208"/>
      <c r="BW66" s="1208"/>
      <c r="BX66" s="1208"/>
      <c r="BY66" s="1208"/>
      <c r="BZ66" s="1208"/>
      <c r="CA66" s="1208"/>
    </row>
    <row r="67" spans="1:79" x14ac:dyDescent="0.25">
      <c r="A67" s="1172"/>
      <c r="B67" s="1172"/>
      <c r="C67" s="1172"/>
      <c r="D67" s="1172"/>
      <c r="E67" s="1172"/>
      <c r="F67" s="1172"/>
      <c r="G67" s="1172"/>
      <c r="H67" s="1172"/>
      <c r="I67" s="1172"/>
      <c r="J67" s="1172"/>
      <c r="K67" s="1172"/>
      <c r="L67" s="1172"/>
      <c r="M67" s="1172"/>
      <c r="N67" s="1172"/>
      <c r="O67" s="1172"/>
      <c r="P67" s="1172"/>
      <c r="Q67" s="1172"/>
      <c r="R67" s="1172"/>
      <c r="S67" s="1172"/>
      <c r="T67" s="1172"/>
      <c r="U67" s="1172"/>
      <c r="V67" s="1172"/>
      <c r="W67" s="1172"/>
      <c r="X67" s="1172"/>
      <c r="Y67" s="1172"/>
      <c r="Z67" s="1172"/>
      <c r="AA67" s="1172"/>
      <c r="AB67" s="1172"/>
      <c r="AC67" s="1172"/>
      <c r="AD67" s="1172"/>
      <c r="AE67" s="1172"/>
      <c r="AF67" s="1172"/>
      <c r="AG67" s="1172"/>
      <c r="AH67" s="1172"/>
      <c r="AI67" s="1172"/>
      <c r="AJ67" s="1172"/>
      <c r="AK67" s="1172"/>
      <c r="AL67" s="1172"/>
      <c r="AM67" s="1172"/>
      <c r="AN67" s="1172"/>
      <c r="AO67" s="1172"/>
      <c r="AP67" s="1172"/>
      <c r="AQ67" s="1172"/>
      <c r="AR67" s="1172"/>
      <c r="AS67" s="1172"/>
      <c r="AT67" s="1172"/>
      <c r="AU67" s="1172"/>
      <c r="AV67" s="1172"/>
      <c r="AW67" s="1172"/>
      <c r="AX67" s="1172"/>
      <c r="AY67" s="1172"/>
      <c r="AZ67" s="1172"/>
      <c r="BA67" s="1172"/>
      <c r="BB67" s="1172"/>
      <c r="BC67" s="1172"/>
      <c r="BD67" s="1172"/>
      <c r="BE67" s="1172"/>
      <c r="BF67" s="1172"/>
      <c r="BG67" s="1172"/>
      <c r="BH67" s="1172"/>
      <c r="BI67" s="1172"/>
      <c r="BJ67" s="1172"/>
      <c r="BK67" s="1172"/>
      <c r="BL67" s="1172"/>
      <c r="BM67" s="1172"/>
      <c r="BN67" s="1172"/>
      <c r="BO67" s="1172"/>
      <c r="BP67" s="1172"/>
      <c r="BQ67" s="1172"/>
      <c r="BR67" s="1172"/>
      <c r="BS67" s="1172"/>
      <c r="BT67" s="1172"/>
      <c r="BU67" s="1172"/>
      <c r="BV67" s="1172"/>
      <c r="BW67" s="1172"/>
      <c r="BX67" s="1172"/>
      <c r="BY67" s="1172"/>
      <c r="BZ67" s="1172"/>
      <c r="CA67" s="1172"/>
    </row>
    <row r="68" spans="1:79" x14ac:dyDescent="0.25">
      <c r="A68" s="1208" t="s">
        <v>616</v>
      </c>
      <c r="B68" s="1192"/>
      <c r="C68" s="1192"/>
      <c r="D68" s="1192"/>
      <c r="E68" s="1243"/>
      <c r="F68" s="1252"/>
      <c r="G68" s="1252"/>
      <c r="H68" s="1252"/>
      <c r="I68" s="1252"/>
      <c r="J68" s="1252"/>
      <c r="K68" s="1252"/>
      <c r="L68" s="1172"/>
      <c r="M68" s="1172"/>
      <c r="N68" s="1172"/>
      <c r="O68" s="1172"/>
      <c r="P68" s="1172"/>
      <c r="Q68" s="1172"/>
      <c r="R68" s="1172"/>
      <c r="S68" s="1172"/>
      <c r="T68" s="1172"/>
      <c r="U68" s="1172"/>
      <c r="V68" s="1172"/>
      <c r="W68" s="1172"/>
      <c r="X68" s="1172"/>
      <c r="Y68" s="1172"/>
      <c r="Z68" s="1172"/>
      <c r="AA68" s="1172"/>
      <c r="AB68" s="1172"/>
      <c r="AC68" s="1172"/>
      <c r="AD68" s="1172"/>
      <c r="AE68" s="1172"/>
      <c r="AF68" s="1172"/>
      <c r="AG68" s="1172"/>
      <c r="AH68" s="1172"/>
      <c r="AI68" s="1172"/>
      <c r="AJ68" s="1172"/>
      <c r="AK68" s="1172"/>
      <c r="AL68" s="1172"/>
      <c r="AM68" s="1172"/>
      <c r="AN68" s="1172"/>
      <c r="AO68" s="1172"/>
      <c r="AP68" s="1172"/>
      <c r="AQ68" s="1172"/>
      <c r="AR68" s="1172"/>
      <c r="AS68" s="1172"/>
      <c r="AT68" s="1172"/>
      <c r="AU68" s="1172"/>
      <c r="AV68" s="1172"/>
      <c r="AW68" s="1172"/>
      <c r="AX68" s="1172"/>
      <c r="AY68" s="1172"/>
      <c r="AZ68" s="1172"/>
      <c r="BA68" s="1172"/>
      <c r="BB68" s="1172"/>
      <c r="BC68" s="1172"/>
      <c r="BD68" s="1172"/>
      <c r="BE68" s="1172"/>
      <c r="BF68" s="1172"/>
      <c r="BG68" s="1172"/>
      <c r="BH68" s="1172"/>
      <c r="BI68" s="1172"/>
      <c r="BJ68" s="1172"/>
      <c r="BK68" s="1172"/>
      <c r="BL68" s="1172"/>
      <c r="BM68" s="1172"/>
      <c r="BN68" s="1172"/>
      <c r="BO68" s="1172"/>
      <c r="BP68" s="1172"/>
      <c r="BQ68" s="1172"/>
      <c r="BR68" s="1172"/>
      <c r="BS68" s="1172"/>
      <c r="BT68" s="1172"/>
      <c r="BU68" s="1172"/>
      <c r="BV68" s="1172"/>
      <c r="BW68" s="1172"/>
      <c r="BX68" s="1172"/>
      <c r="BY68" s="1172"/>
      <c r="BZ68" s="1172"/>
      <c r="CA68" s="1172"/>
    </row>
    <row r="69" spans="1:79" x14ac:dyDescent="0.25">
      <c r="A69" s="1174"/>
      <c r="B69" s="1192"/>
      <c r="C69" s="1192"/>
      <c r="D69" s="1175"/>
      <c r="E69" s="1253"/>
      <c r="F69" s="1253"/>
      <c r="G69" s="1253"/>
      <c r="H69" s="1253"/>
      <c r="I69" s="1253"/>
      <c r="J69" s="1253"/>
      <c r="K69" s="1253"/>
      <c r="L69" s="1254"/>
      <c r="M69" s="1254"/>
      <c r="N69" s="1254"/>
      <c r="O69" s="1254"/>
      <c r="P69" s="1254"/>
      <c r="Q69" s="1254"/>
      <c r="R69" s="1254"/>
      <c r="S69" s="1254"/>
      <c r="T69" s="1254"/>
      <c r="U69" s="1254"/>
      <c r="V69" s="1254"/>
      <c r="W69" s="1173"/>
      <c r="X69" s="1173"/>
      <c r="Y69" s="1208"/>
      <c r="Z69" s="1208"/>
      <c r="AA69" s="1208"/>
      <c r="AB69" s="1208"/>
      <c r="AC69" s="1208"/>
      <c r="AD69" s="1208"/>
      <c r="AE69" s="1208"/>
      <c r="AF69" s="1208"/>
      <c r="AG69" s="1208"/>
      <c r="AH69" s="1208"/>
      <c r="AI69" s="1208"/>
      <c r="AJ69" s="1208"/>
      <c r="AK69" s="1208"/>
      <c r="AL69" s="1208"/>
      <c r="AM69" s="1208"/>
      <c r="AN69" s="1208"/>
      <c r="AO69" s="1208"/>
      <c r="AP69" s="1208"/>
      <c r="AQ69" s="1208"/>
      <c r="AR69" s="1208"/>
      <c r="AS69" s="1208"/>
      <c r="AT69" s="1208"/>
      <c r="AU69" s="1208"/>
      <c r="AV69" s="1208"/>
      <c r="AW69" s="1208"/>
      <c r="AX69" s="1208"/>
      <c r="AY69" s="1208"/>
      <c r="AZ69" s="1208"/>
      <c r="BA69" s="1208"/>
      <c r="BB69" s="1208"/>
      <c r="BC69" s="1208"/>
      <c r="BD69" s="1208"/>
      <c r="BE69" s="1208"/>
      <c r="BF69" s="1208"/>
      <c r="BG69" s="1208"/>
      <c r="BH69" s="1208"/>
      <c r="BI69" s="1208"/>
      <c r="BJ69" s="1208"/>
      <c r="BK69" s="1208"/>
      <c r="BL69" s="1208"/>
      <c r="BM69" s="1208"/>
      <c r="BN69" s="1208"/>
      <c r="BO69" s="1208"/>
      <c r="BP69" s="1208"/>
      <c r="BQ69" s="1208"/>
      <c r="BR69" s="1208"/>
      <c r="BS69" s="1208"/>
      <c r="BT69" s="1208"/>
      <c r="BU69" s="1208"/>
      <c r="BV69" s="1208"/>
      <c r="BW69" s="1208"/>
      <c r="BX69" s="1208"/>
      <c r="BY69" s="1208"/>
      <c r="BZ69" s="1208"/>
      <c r="CA69" s="1208"/>
    </row>
    <row r="70" spans="1:79" x14ac:dyDescent="0.25">
      <c r="A70" s="1172"/>
      <c r="B70" s="1192"/>
      <c r="C70" s="1192"/>
      <c r="D70" s="1172"/>
      <c r="E70" s="1172"/>
      <c r="F70" s="1172"/>
      <c r="G70" s="1172"/>
      <c r="H70" s="1172"/>
      <c r="I70" s="1172"/>
      <c r="J70" s="1172"/>
      <c r="K70" s="1172"/>
      <c r="L70" s="1172"/>
      <c r="M70" s="1172"/>
      <c r="N70" s="1172"/>
      <c r="O70" s="1172"/>
      <c r="P70" s="1172"/>
      <c r="Q70" s="1172"/>
      <c r="R70" s="1172"/>
      <c r="S70" s="1172"/>
      <c r="T70" s="1172"/>
      <c r="U70" s="1172"/>
      <c r="V70" s="1172"/>
      <c r="W70" s="1172"/>
      <c r="X70" s="1172"/>
      <c r="Y70" s="1172"/>
      <c r="Z70" s="1172"/>
      <c r="AA70" s="1172"/>
      <c r="AB70" s="1172"/>
      <c r="AC70" s="1172"/>
      <c r="AD70" s="1172"/>
      <c r="AE70" s="1172"/>
      <c r="AF70" s="1172"/>
      <c r="AG70" s="1172"/>
      <c r="AH70" s="1172"/>
      <c r="AI70" s="1172"/>
      <c r="AJ70" s="1172"/>
      <c r="AK70" s="1172"/>
      <c r="AL70" s="1172"/>
      <c r="AM70" s="1172"/>
      <c r="AN70" s="1172"/>
      <c r="AO70" s="1172"/>
      <c r="AP70" s="1172"/>
      <c r="AQ70" s="1172"/>
      <c r="AR70" s="1172"/>
      <c r="AS70" s="1172"/>
      <c r="AT70" s="1172"/>
      <c r="AU70" s="1172"/>
      <c r="AV70" s="1172"/>
      <c r="AW70" s="1172"/>
      <c r="AX70" s="1172"/>
      <c r="AY70" s="1172"/>
      <c r="AZ70" s="1172"/>
      <c r="BA70" s="1172"/>
      <c r="BB70" s="1172"/>
      <c r="BC70" s="1172"/>
      <c r="BD70" s="1172"/>
      <c r="BE70" s="1172"/>
      <c r="BF70" s="1172"/>
      <c r="BG70" s="1172"/>
      <c r="BH70" s="1172"/>
      <c r="BI70" s="1172"/>
      <c r="BJ70" s="1172"/>
      <c r="BK70" s="1172"/>
      <c r="BL70" s="1172"/>
      <c r="BM70" s="1172"/>
      <c r="BN70" s="1172"/>
      <c r="BO70" s="1172"/>
      <c r="BP70" s="1172"/>
      <c r="BQ70" s="1172"/>
      <c r="BR70" s="1172"/>
      <c r="BS70" s="1172"/>
      <c r="BT70" s="1172"/>
      <c r="BU70" s="1172"/>
      <c r="BV70" s="1172"/>
      <c r="BW70" s="1172"/>
      <c r="BX70" s="1172"/>
      <c r="BY70" s="1172"/>
      <c r="BZ70" s="1172"/>
      <c r="CA70" s="1172"/>
    </row>
    <row r="71" spans="1:79" x14ac:dyDescent="0.25">
      <c r="A71" s="1172"/>
      <c r="B71" s="1172"/>
      <c r="C71" s="1172"/>
      <c r="D71" s="1172"/>
      <c r="E71" s="1172"/>
      <c r="F71" s="1172"/>
      <c r="G71" s="1172"/>
      <c r="H71" s="1172"/>
      <c r="I71" s="1172"/>
      <c r="J71" s="1172"/>
      <c r="K71" s="1172"/>
      <c r="L71" s="1172"/>
      <c r="M71" s="1172"/>
      <c r="N71" s="1172"/>
      <c r="O71" s="1172"/>
      <c r="P71" s="1172"/>
      <c r="Q71" s="1172"/>
      <c r="R71" s="1172"/>
      <c r="S71" s="1172"/>
      <c r="T71" s="1172"/>
      <c r="U71" s="1172"/>
      <c r="V71" s="1172"/>
      <c r="W71" s="1172"/>
      <c r="X71" s="1172"/>
      <c r="Y71" s="1172"/>
      <c r="Z71" s="1172"/>
      <c r="AA71" s="1172"/>
      <c r="AB71" s="1172"/>
      <c r="AC71" s="1172"/>
      <c r="AD71" s="1172"/>
      <c r="AE71" s="1172"/>
      <c r="AF71" s="1172"/>
      <c r="AG71" s="1172"/>
      <c r="AH71" s="1172"/>
      <c r="AI71" s="1172"/>
      <c r="AJ71" s="1172"/>
      <c r="AK71" s="1172"/>
      <c r="AL71" s="1172"/>
      <c r="AM71" s="1172"/>
      <c r="AN71" s="1172"/>
      <c r="AO71" s="1172"/>
      <c r="AP71" s="1172"/>
      <c r="AQ71" s="1172"/>
      <c r="AR71" s="1172"/>
      <c r="AS71" s="1172"/>
      <c r="AT71" s="1172"/>
      <c r="AU71" s="1172"/>
      <c r="AV71" s="1172"/>
      <c r="AW71" s="1172"/>
      <c r="AX71" s="1172"/>
      <c r="AY71" s="1172"/>
      <c r="AZ71" s="1172"/>
      <c r="BA71" s="1172"/>
      <c r="BB71" s="1172"/>
      <c r="BC71" s="1172"/>
      <c r="BD71" s="1172"/>
      <c r="BE71" s="1172"/>
      <c r="BF71" s="1172"/>
      <c r="BG71" s="1172"/>
      <c r="BH71" s="1172"/>
      <c r="BI71" s="1172"/>
      <c r="BJ71" s="1172"/>
      <c r="BK71" s="1172"/>
      <c r="BL71" s="1172"/>
      <c r="BM71" s="1172"/>
      <c r="BN71" s="1172"/>
      <c r="BO71" s="1172"/>
      <c r="BP71" s="1172"/>
      <c r="BQ71" s="1172"/>
      <c r="BR71" s="1172"/>
      <c r="BS71" s="1172"/>
      <c r="BT71" s="1172"/>
      <c r="BU71" s="1172"/>
      <c r="BV71" s="1172"/>
      <c r="BW71" s="1172"/>
      <c r="BX71" s="1172"/>
      <c r="BY71" s="1172"/>
      <c r="BZ71" s="1172"/>
      <c r="CA71" s="1172"/>
    </row>
    <row r="72" spans="1:79" x14ac:dyDescent="0.25">
      <c r="A72" s="1172"/>
      <c r="B72" s="1172"/>
      <c r="C72" s="1172"/>
      <c r="D72" s="1172"/>
      <c r="E72" s="1172"/>
      <c r="F72" s="1172"/>
      <c r="G72" s="1172"/>
      <c r="H72" s="1172"/>
      <c r="I72" s="1172"/>
      <c r="J72" s="1172"/>
      <c r="K72" s="1172"/>
      <c r="L72" s="1172"/>
      <c r="M72" s="1172"/>
      <c r="N72" s="1172"/>
      <c r="O72" s="1172"/>
      <c r="P72" s="1172"/>
      <c r="Q72" s="1172"/>
      <c r="R72" s="1172"/>
      <c r="S72" s="1172"/>
      <c r="T72" s="1172"/>
      <c r="U72" s="1172"/>
      <c r="V72" s="1172"/>
      <c r="W72" s="1172"/>
      <c r="X72" s="1172"/>
      <c r="Y72" s="1172"/>
      <c r="Z72" s="1172"/>
      <c r="AA72" s="1172"/>
      <c r="AB72" s="1172"/>
      <c r="AC72" s="1172"/>
      <c r="AD72" s="1172"/>
      <c r="AE72" s="1172"/>
      <c r="AF72" s="1172"/>
      <c r="AG72" s="1172"/>
      <c r="AH72" s="1172"/>
      <c r="AI72" s="1172"/>
      <c r="AJ72" s="1172"/>
      <c r="AK72" s="1172"/>
      <c r="AL72" s="1172"/>
      <c r="AM72" s="1172"/>
      <c r="AN72" s="1172"/>
      <c r="AO72" s="1172"/>
      <c r="AP72" s="1172"/>
      <c r="AQ72" s="1172"/>
      <c r="AR72" s="1172"/>
      <c r="AS72" s="1172"/>
      <c r="AT72" s="1172"/>
      <c r="AU72" s="1172"/>
      <c r="AV72" s="1172"/>
      <c r="AW72" s="1172"/>
      <c r="AX72" s="1172"/>
      <c r="AY72" s="1172"/>
      <c r="AZ72" s="1172"/>
      <c r="BA72" s="1172"/>
      <c r="BB72" s="1172"/>
      <c r="BC72" s="1172"/>
      <c r="BD72" s="1172"/>
      <c r="BE72" s="1172"/>
      <c r="BF72" s="1172"/>
      <c r="BG72" s="1172"/>
      <c r="BH72" s="1172"/>
      <c r="BI72" s="1172"/>
      <c r="BJ72" s="1172"/>
      <c r="BK72" s="1172"/>
      <c r="BL72" s="1172"/>
      <c r="BM72" s="1172"/>
      <c r="BN72" s="1172"/>
      <c r="BO72" s="1172"/>
      <c r="BP72" s="1172"/>
      <c r="BQ72" s="1172"/>
      <c r="BR72" s="1172"/>
      <c r="BS72" s="1172"/>
      <c r="BT72" s="1172"/>
      <c r="BU72" s="1172"/>
      <c r="BV72" s="1172"/>
      <c r="BW72" s="1172"/>
      <c r="BX72" s="1172"/>
      <c r="BY72" s="1172"/>
      <c r="BZ72" s="1172"/>
      <c r="CA72" s="1172"/>
    </row>
  </sheetData>
  <mergeCells count="2">
    <mergeCell ref="N7:O7"/>
    <mergeCell ref="F22:U22"/>
  </mergeCells>
  <hyperlinks>
    <hyperlink ref="A65" r:id="rId1" location="definitions" xr:uid="{00000000-0004-0000-0B00-000000000000}"/>
    <hyperlink ref="N1" location="Contents!A1" display="Back to Contents" xr:uid="{9227B142-E40E-4144-A84F-2AA9478AD126}"/>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B1948-4760-43CA-90BA-5B59B9091AE8}">
  <sheetPr codeName="Sheet2">
    <tabColor rgb="FF002060"/>
  </sheetPr>
  <dimension ref="A1:BJ69"/>
  <sheetViews>
    <sheetView showGridLines="0" topLeftCell="A3" workbookViewId="0">
      <selection activeCell="AV14" sqref="AV14"/>
    </sheetView>
  </sheetViews>
  <sheetFormatPr defaultRowHeight="15" x14ac:dyDescent="0.25"/>
  <cols>
    <col min="4" max="4" width="10.85546875" customWidth="1"/>
    <col min="5" max="5" width="9" customWidth="1"/>
    <col min="6" max="6" width="9.85546875" customWidth="1"/>
    <col min="25" max="25" width="9.140625" bestFit="1" customWidth="1"/>
    <col min="26" max="26" width="30.140625" bestFit="1" customWidth="1"/>
    <col min="36" max="36" width="30.5703125" customWidth="1"/>
    <col min="47" max="47" width="35.7109375" bestFit="1" customWidth="1"/>
  </cols>
  <sheetData>
    <row r="1" spans="1:62" ht="15.75" x14ac:dyDescent="0.25">
      <c r="A1" s="1294" t="s">
        <v>540</v>
      </c>
      <c r="B1" s="1295"/>
      <c r="C1" s="1296"/>
      <c r="D1" s="1296"/>
      <c r="E1" s="1297"/>
      <c r="F1" s="1297"/>
      <c r="G1" s="1297"/>
      <c r="H1" s="1297"/>
      <c r="I1" s="1297"/>
      <c r="J1" s="1297"/>
      <c r="K1" s="1298"/>
      <c r="L1" s="1299"/>
      <c r="M1" s="1299"/>
      <c r="N1" s="1299"/>
      <c r="O1" s="1299"/>
      <c r="P1" s="1299"/>
      <c r="Q1" s="1299"/>
      <c r="R1" s="1299"/>
      <c r="S1" s="1299"/>
      <c r="T1" s="1299"/>
      <c r="U1" s="1299"/>
      <c r="V1" s="803" t="s">
        <v>591</v>
      </c>
    </row>
    <row r="2" spans="1:62" ht="18" x14ac:dyDescent="0.25">
      <c r="A2" s="1294" t="s">
        <v>617</v>
      </c>
      <c r="B2" s="1295"/>
      <c r="C2" s="1300"/>
      <c r="D2" s="1301"/>
      <c r="E2" s="1302"/>
      <c r="F2" s="1302"/>
      <c r="G2" s="1302"/>
      <c r="H2" s="1302"/>
      <c r="I2" s="1302"/>
      <c r="J2" s="1302"/>
      <c r="K2" s="1302"/>
      <c r="L2" s="1299"/>
      <c r="M2" s="1299"/>
      <c r="N2" s="1299"/>
      <c r="O2" s="1299"/>
      <c r="P2" s="1299"/>
      <c r="Q2" s="1299"/>
      <c r="R2" s="1299"/>
      <c r="S2" s="1299"/>
      <c r="T2" s="1299"/>
      <c r="U2" s="1299"/>
      <c r="V2" s="1299"/>
    </row>
    <row r="3" spans="1:62" ht="18" x14ac:dyDescent="0.25">
      <c r="A3" s="1303" t="s">
        <v>618</v>
      </c>
      <c r="B3" s="1295"/>
      <c r="C3" s="1304"/>
      <c r="D3" s="1301"/>
      <c r="E3" s="1302"/>
      <c r="F3" s="1302"/>
      <c r="G3" s="1302"/>
      <c r="H3" s="1302"/>
      <c r="I3" s="1302"/>
      <c r="J3" s="1302"/>
      <c r="K3" s="1302"/>
      <c r="L3" s="1299"/>
      <c r="M3" s="1299"/>
      <c r="N3" s="1299"/>
      <c r="O3" s="1299"/>
      <c r="P3" s="1299"/>
      <c r="Q3" s="1299"/>
      <c r="R3" s="1299"/>
      <c r="S3" s="1299"/>
      <c r="T3" s="1299"/>
      <c r="U3" s="1299"/>
      <c r="V3" s="1299"/>
    </row>
    <row r="4" spans="1:62" x14ac:dyDescent="0.25">
      <c r="A4" s="1305"/>
      <c r="B4" s="1305"/>
      <c r="C4" s="1306"/>
      <c r="D4" s="1306"/>
      <c r="E4" s="1307"/>
      <c r="F4" s="1307"/>
      <c r="G4" s="1307"/>
      <c r="H4" s="1307"/>
      <c r="I4" s="1307"/>
      <c r="J4" s="1307"/>
      <c r="K4" s="1307"/>
      <c r="L4" s="1308"/>
      <c r="M4" s="1308"/>
      <c r="N4" s="1307"/>
      <c r="O4" s="1306"/>
      <c r="P4" s="1306"/>
      <c r="Q4" s="1306"/>
      <c r="R4" s="1307"/>
      <c r="S4" s="1307"/>
      <c r="T4" s="1307"/>
      <c r="U4" s="1307"/>
      <c r="V4" s="1307"/>
    </row>
    <row r="5" spans="1:62" x14ac:dyDescent="0.25">
      <c r="A5" s="1309"/>
      <c r="B5" s="1310"/>
      <c r="C5" s="1311"/>
      <c r="D5" s="1311"/>
      <c r="E5" s="1312"/>
      <c r="F5" s="1312"/>
      <c r="G5" s="1312"/>
      <c r="H5" s="1312"/>
      <c r="I5" s="1312"/>
      <c r="J5" s="1312"/>
      <c r="K5" s="1312"/>
      <c r="L5" s="1313"/>
      <c r="M5" s="1313"/>
      <c r="N5" s="1312"/>
      <c r="O5" s="1311"/>
      <c r="P5" s="1311"/>
      <c r="Q5" s="1311"/>
      <c r="R5" s="1312"/>
      <c r="S5" s="1312"/>
      <c r="T5" s="1312"/>
      <c r="U5" s="1312"/>
      <c r="V5" s="1312"/>
      <c r="AA5" s="1312"/>
      <c r="AB5" s="1313"/>
      <c r="AC5" s="1312"/>
      <c r="AD5" s="1311"/>
      <c r="AE5" s="1311"/>
      <c r="AF5" s="1312"/>
      <c r="AG5" s="1312"/>
    </row>
    <row r="6" spans="1:62" x14ac:dyDescent="0.25">
      <c r="A6" s="1309"/>
      <c r="B6" s="1310"/>
      <c r="C6" s="1311"/>
      <c r="D6" s="1311"/>
      <c r="E6" s="1314" t="s">
        <v>594</v>
      </c>
      <c r="F6" s="1314"/>
      <c r="G6" s="1314"/>
      <c r="H6" s="1314"/>
      <c r="I6" s="1314"/>
      <c r="J6" s="1315"/>
      <c r="K6" s="1315" t="s">
        <v>595</v>
      </c>
      <c r="L6" s="1316"/>
      <c r="M6" s="1316"/>
      <c r="N6" s="1314" t="s">
        <v>596</v>
      </c>
      <c r="O6" s="1314"/>
      <c r="P6" s="1314"/>
      <c r="Q6" s="1314"/>
      <c r="R6" s="1314"/>
      <c r="S6" s="1314"/>
      <c r="T6" s="1314"/>
      <c r="U6" s="1314"/>
      <c r="V6" s="1314"/>
      <c r="AA6" s="1315" t="s">
        <v>595</v>
      </c>
      <c r="AB6" s="1316"/>
      <c r="AC6" s="1314" t="s">
        <v>596</v>
      </c>
      <c r="AD6" s="1314"/>
      <c r="AE6" s="1314"/>
      <c r="AF6" s="1314"/>
      <c r="AG6" s="1314"/>
      <c r="AJ6">
        <v>2022</v>
      </c>
      <c r="AK6" s="1315" t="s">
        <v>595</v>
      </c>
      <c r="AL6" s="1316"/>
      <c r="AM6" s="1314" t="s">
        <v>596</v>
      </c>
      <c r="AN6" s="1314"/>
      <c r="AO6" s="1314"/>
      <c r="AP6" s="1314"/>
      <c r="AQ6" s="1314"/>
      <c r="AV6" s="1315" t="s">
        <v>595</v>
      </c>
      <c r="AW6" s="1316"/>
      <c r="AX6" s="1314" t="s">
        <v>596</v>
      </c>
      <c r="AY6" s="1314"/>
      <c r="AZ6" s="1314"/>
      <c r="BA6" s="1314"/>
      <c r="BB6" s="1314"/>
      <c r="BD6" s="1315" t="s">
        <v>595</v>
      </c>
      <c r="BE6" s="1316"/>
      <c r="BF6" s="1314" t="s">
        <v>596</v>
      </c>
      <c r="BG6" s="1314"/>
      <c r="BH6" s="1314"/>
      <c r="BI6" s="1314"/>
      <c r="BJ6" s="1314"/>
    </row>
    <row r="7" spans="1:62" x14ac:dyDescent="0.25">
      <c r="A7" s="1317"/>
      <c r="B7" s="1317"/>
      <c r="C7" s="1318"/>
      <c r="D7" s="1318"/>
      <c r="E7" s="1319" t="s">
        <v>597</v>
      </c>
      <c r="F7" s="1320"/>
      <c r="G7" s="1321"/>
      <c r="H7" s="1322" t="s">
        <v>598</v>
      </c>
      <c r="I7" s="1320"/>
      <c r="J7" s="1316"/>
      <c r="K7" s="1323" t="s">
        <v>527</v>
      </c>
      <c r="L7" s="1324" t="s">
        <v>528</v>
      </c>
      <c r="M7" s="1325"/>
      <c r="N7" s="1773" t="s">
        <v>529</v>
      </c>
      <c r="O7" s="1773"/>
      <c r="P7" s="1326"/>
      <c r="Q7" s="1319" t="s">
        <v>530</v>
      </c>
      <c r="R7" s="1327"/>
      <c r="S7" s="1320"/>
      <c r="T7" s="1316"/>
      <c r="U7" s="1322" t="s">
        <v>599</v>
      </c>
      <c r="V7" s="1320"/>
      <c r="AA7" s="1323" t="s">
        <v>527</v>
      </c>
      <c r="AB7" s="1324" t="s">
        <v>528</v>
      </c>
      <c r="AC7" s="1773" t="s">
        <v>529</v>
      </c>
      <c r="AD7" s="1773"/>
      <c r="AE7" s="1319" t="s">
        <v>530</v>
      </c>
      <c r="AF7" s="1327"/>
      <c r="AG7" s="1320"/>
      <c r="AK7" s="1323" t="s">
        <v>527</v>
      </c>
      <c r="AL7" s="1324" t="s">
        <v>528</v>
      </c>
      <c r="AM7" s="1773" t="s">
        <v>529</v>
      </c>
      <c r="AN7" s="1773"/>
      <c r="AO7" s="1319" t="s">
        <v>530</v>
      </c>
      <c r="AP7" s="1327"/>
      <c r="AQ7" s="1320"/>
      <c r="AV7" s="1323" t="s">
        <v>527</v>
      </c>
      <c r="AW7" s="1324" t="s">
        <v>528</v>
      </c>
      <c r="AX7" s="1773" t="s">
        <v>529</v>
      </c>
      <c r="AY7" s="1773"/>
      <c r="AZ7" s="1319" t="s">
        <v>530</v>
      </c>
      <c r="BA7" s="1327"/>
      <c r="BB7" s="1320"/>
      <c r="BD7" s="1323" t="s">
        <v>527</v>
      </c>
      <c r="BE7" s="1324" t="s">
        <v>528</v>
      </c>
      <c r="BF7" s="1773" t="s">
        <v>529</v>
      </c>
      <c r="BG7" s="1773"/>
      <c r="BH7" s="1319" t="s">
        <v>530</v>
      </c>
      <c r="BI7" s="1327"/>
      <c r="BJ7" s="1320"/>
    </row>
    <row r="8" spans="1:62" x14ac:dyDescent="0.25">
      <c r="A8" s="1317"/>
      <c r="B8" s="1317"/>
      <c r="C8" s="1328"/>
      <c r="D8" s="1328"/>
      <c r="E8" s="696" t="s">
        <v>527</v>
      </c>
      <c r="F8" s="696" t="s">
        <v>600</v>
      </c>
      <c r="G8" s="696"/>
      <c r="H8" s="696" t="s">
        <v>527</v>
      </c>
      <c r="I8" s="696" t="s">
        <v>528</v>
      </c>
      <c r="J8" s="696"/>
      <c r="K8" s="1325" t="s">
        <v>532</v>
      </c>
      <c r="L8" s="1325" t="s">
        <v>533</v>
      </c>
      <c r="M8" s="1325"/>
      <c r="N8" s="696" t="s">
        <v>534</v>
      </c>
      <c r="O8" s="1329" t="s">
        <v>534</v>
      </c>
      <c r="P8" s="696"/>
      <c r="Q8" s="1325" t="s">
        <v>534</v>
      </c>
      <c r="R8" s="1329" t="s">
        <v>534</v>
      </c>
      <c r="S8" s="1329" t="s">
        <v>534</v>
      </c>
      <c r="T8" s="696"/>
      <c r="U8" s="1329" t="s">
        <v>601</v>
      </c>
      <c r="V8" s="1329" t="s">
        <v>534</v>
      </c>
      <c r="AA8" s="1325" t="s">
        <v>532</v>
      </c>
      <c r="AB8" s="1325" t="s">
        <v>533</v>
      </c>
      <c r="AC8" s="696" t="s">
        <v>534</v>
      </c>
      <c r="AD8" s="1329" t="s">
        <v>534</v>
      </c>
      <c r="AE8" s="1325" t="s">
        <v>534</v>
      </c>
      <c r="AF8" s="1329" t="s">
        <v>534</v>
      </c>
      <c r="AG8" s="1329" t="s">
        <v>534</v>
      </c>
      <c r="AK8" s="1325" t="s">
        <v>532</v>
      </c>
      <c r="AL8" s="1325" t="s">
        <v>533</v>
      </c>
      <c r="AM8" s="696" t="s">
        <v>534</v>
      </c>
      <c r="AN8" s="1329" t="s">
        <v>534</v>
      </c>
      <c r="AO8" s="1325" t="s">
        <v>534</v>
      </c>
      <c r="AP8" s="1329" t="s">
        <v>534</v>
      </c>
      <c r="AQ8" s="1329" t="s">
        <v>534</v>
      </c>
      <c r="AV8" s="1325" t="s">
        <v>532</v>
      </c>
      <c r="AW8" s="1325" t="s">
        <v>533</v>
      </c>
      <c r="AX8" s="696" t="s">
        <v>534</v>
      </c>
      <c r="AY8" s="1329" t="s">
        <v>534</v>
      </c>
      <c r="AZ8" s="1325" t="s">
        <v>534</v>
      </c>
      <c r="BA8" s="1329" t="s">
        <v>534</v>
      </c>
      <c r="BB8" s="1329" t="s">
        <v>534</v>
      </c>
      <c r="BD8" s="1325" t="s">
        <v>532</v>
      </c>
      <c r="BE8" s="1325" t="s">
        <v>533</v>
      </c>
      <c r="BF8" s="696" t="s">
        <v>534</v>
      </c>
      <c r="BG8" s="1329" t="s">
        <v>534</v>
      </c>
      <c r="BH8" s="1325" t="s">
        <v>534</v>
      </c>
      <c r="BI8" s="1329" t="s">
        <v>534</v>
      </c>
      <c r="BJ8" s="1329" t="s">
        <v>534</v>
      </c>
    </row>
    <row r="9" spans="1:62" x14ac:dyDescent="0.25">
      <c r="A9" s="1317"/>
      <c r="B9" s="1317"/>
      <c r="C9" s="1328"/>
      <c r="D9" s="1328"/>
      <c r="E9" s="1325" t="s">
        <v>532</v>
      </c>
      <c r="F9" s="696" t="s">
        <v>533</v>
      </c>
      <c r="G9" s="696"/>
      <c r="H9" s="1325" t="s">
        <v>532</v>
      </c>
      <c r="I9" s="696" t="s">
        <v>533</v>
      </c>
      <c r="J9" s="696"/>
      <c r="K9" s="1325" t="s">
        <v>536</v>
      </c>
      <c r="L9" s="1325"/>
      <c r="M9" s="1325"/>
      <c r="N9" s="696" t="s">
        <v>537</v>
      </c>
      <c r="O9" s="696" t="s">
        <v>538</v>
      </c>
      <c r="P9" s="696"/>
      <c r="Q9" s="696" t="s">
        <v>537</v>
      </c>
      <c r="R9" s="696" t="s">
        <v>538</v>
      </c>
      <c r="S9" s="696" t="s">
        <v>539</v>
      </c>
      <c r="T9" s="696"/>
      <c r="U9" s="696" t="s">
        <v>543</v>
      </c>
      <c r="V9" s="696" t="s">
        <v>543</v>
      </c>
      <c r="AA9" s="1325" t="s">
        <v>536</v>
      </c>
      <c r="AB9" s="1325"/>
      <c r="AC9" s="696" t="s">
        <v>537</v>
      </c>
      <c r="AD9" s="696" t="s">
        <v>538</v>
      </c>
      <c r="AE9" s="696" t="s">
        <v>537</v>
      </c>
      <c r="AF9" s="696" t="s">
        <v>538</v>
      </c>
      <c r="AG9" s="696" t="s">
        <v>539</v>
      </c>
      <c r="AK9" s="1325" t="s">
        <v>536</v>
      </c>
      <c r="AL9" s="1325"/>
      <c r="AM9" s="696" t="s">
        <v>537</v>
      </c>
      <c r="AN9" s="696" t="s">
        <v>538</v>
      </c>
      <c r="AO9" s="696" t="s">
        <v>537</v>
      </c>
      <c r="AP9" s="696" t="s">
        <v>538</v>
      </c>
      <c r="AQ9" s="696" t="s">
        <v>539</v>
      </c>
      <c r="AV9" s="1325" t="s">
        <v>536</v>
      </c>
      <c r="AW9" s="1325"/>
      <c r="AX9" s="696" t="s">
        <v>537</v>
      </c>
      <c r="AY9" s="696" t="s">
        <v>538</v>
      </c>
      <c r="AZ9" s="696" t="s">
        <v>537</v>
      </c>
      <c r="BA9" s="696" t="s">
        <v>538</v>
      </c>
      <c r="BB9" s="696" t="s">
        <v>539</v>
      </c>
      <c r="BD9" s="1325" t="s">
        <v>536</v>
      </c>
      <c r="BE9" s="1325"/>
      <c r="BF9" s="696" t="s">
        <v>537</v>
      </c>
      <c r="BG9" s="696" t="s">
        <v>538</v>
      </c>
      <c r="BH9" s="696" t="s">
        <v>537</v>
      </c>
      <c r="BI9" s="696" t="s">
        <v>538</v>
      </c>
      <c r="BJ9" s="696" t="s">
        <v>539</v>
      </c>
    </row>
    <row r="10" spans="1:62" x14ac:dyDescent="0.25">
      <c r="A10" s="1317"/>
      <c r="B10" s="1317"/>
      <c r="C10" s="1328"/>
      <c r="D10" s="1328"/>
      <c r="E10" s="1304"/>
      <c r="F10" s="696"/>
      <c r="G10" s="696"/>
      <c r="H10" s="1304"/>
      <c r="I10" s="696"/>
      <c r="J10" s="696"/>
      <c r="K10" s="1304"/>
      <c r="L10" s="1304"/>
      <c r="M10" s="1304"/>
      <c r="N10" s="696" t="s">
        <v>541</v>
      </c>
      <c r="O10" s="696" t="s">
        <v>542</v>
      </c>
      <c r="P10" s="696"/>
      <c r="Q10" s="696" t="s">
        <v>541</v>
      </c>
      <c r="R10" s="696" t="s">
        <v>543</v>
      </c>
      <c r="S10" s="696" t="s">
        <v>542</v>
      </c>
      <c r="T10" s="696"/>
      <c r="U10" s="1325"/>
      <c r="V10" s="1325"/>
      <c r="AA10" s="1304"/>
      <c r="AB10" s="1304"/>
      <c r="AC10" s="696" t="s">
        <v>541</v>
      </c>
      <c r="AD10" s="696" t="s">
        <v>542</v>
      </c>
      <c r="AE10" s="696" t="s">
        <v>541</v>
      </c>
      <c r="AF10" s="696" t="s">
        <v>543</v>
      </c>
      <c r="AG10" s="696" t="s">
        <v>542</v>
      </c>
      <c r="AK10" s="1304"/>
      <c r="AL10" s="1304"/>
      <c r="AM10" s="696" t="s">
        <v>541</v>
      </c>
      <c r="AN10" s="696" t="s">
        <v>542</v>
      </c>
      <c r="AO10" s="696" t="s">
        <v>541</v>
      </c>
      <c r="AP10" s="696" t="s">
        <v>543</v>
      </c>
      <c r="AQ10" s="696" t="s">
        <v>542</v>
      </c>
      <c r="AV10" s="1304"/>
      <c r="AW10" s="1304"/>
      <c r="AX10" s="696" t="s">
        <v>541</v>
      </c>
      <c r="AY10" s="696" t="s">
        <v>542</v>
      </c>
      <c r="AZ10" s="696" t="s">
        <v>541</v>
      </c>
      <c r="BA10" s="696" t="s">
        <v>543</v>
      </c>
      <c r="BB10" s="696" t="s">
        <v>542</v>
      </c>
      <c r="BD10" s="1304"/>
      <c r="BE10" s="1304"/>
      <c r="BF10" s="696" t="s">
        <v>541</v>
      </c>
      <c r="BG10" s="696" t="s">
        <v>542</v>
      </c>
      <c r="BH10" s="696" t="s">
        <v>541</v>
      </c>
      <c r="BI10" s="696" t="s">
        <v>543</v>
      </c>
      <c r="BJ10" s="696" t="s">
        <v>542</v>
      </c>
    </row>
    <row r="11" spans="1:62" x14ac:dyDescent="0.25">
      <c r="A11" s="1330"/>
      <c r="B11" s="1330"/>
      <c r="C11" s="1330"/>
      <c r="D11" s="1330"/>
      <c r="E11" s="1331"/>
      <c r="F11" s="1331"/>
      <c r="G11" s="1331"/>
      <c r="H11" s="1331"/>
      <c r="I11" s="1331"/>
      <c r="J11" s="1331"/>
      <c r="K11" s="1331"/>
      <c r="L11" s="1331"/>
      <c r="M11" s="1331"/>
      <c r="N11" s="1304"/>
      <c r="O11" s="696" t="s">
        <v>543</v>
      </c>
      <c r="P11" s="696"/>
      <c r="Q11" s="1304"/>
      <c r="R11" s="1304"/>
      <c r="S11" s="696" t="s">
        <v>543</v>
      </c>
      <c r="T11" s="696"/>
      <c r="U11" s="1304"/>
      <c r="V11" s="1304"/>
      <c r="AA11" s="1331"/>
      <c r="AB11" s="1331"/>
      <c r="AC11" s="1304"/>
      <c r="AD11" s="696" t="s">
        <v>543</v>
      </c>
      <c r="AE11" s="1304"/>
      <c r="AF11" s="1304"/>
      <c r="AG11" s="696" t="s">
        <v>543</v>
      </c>
      <c r="AK11" s="1331"/>
      <c r="AL11" s="1331"/>
      <c r="AM11" s="1304"/>
      <c r="AN11" s="696" t="s">
        <v>543</v>
      </c>
      <c r="AO11" s="1304"/>
      <c r="AP11" s="1304"/>
      <c r="AQ11" s="696" t="s">
        <v>543</v>
      </c>
      <c r="AV11" s="1331"/>
      <c r="AW11" s="1331"/>
      <c r="AX11" s="1304"/>
      <c r="AY11" s="696" t="s">
        <v>543</v>
      </c>
      <c r="AZ11" s="1304"/>
      <c r="BA11" s="1304"/>
      <c r="BB11" s="696" t="s">
        <v>543</v>
      </c>
      <c r="BD11" s="1331"/>
      <c r="BE11" s="1331"/>
      <c r="BF11" s="1304"/>
      <c r="BG11" s="696" t="s">
        <v>543</v>
      </c>
      <c r="BH11" s="1304"/>
      <c r="BI11" s="1304"/>
      <c r="BJ11" s="696" t="s">
        <v>543</v>
      </c>
    </row>
    <row r="12" spans="1:62" x14ac:dyDescent="0.25">
      <c r="A12" s="1305"/>
      <c r="B12" s="1305"/>
      <c r="C12" s="1306"/>
      <c r="D12" s="1306"/>
      <c r="E12" s="1307"/>
      <c r="F12" s="1307"/>
      <c r="G12" s="1307"/>
      <c r="H12" s="1307"/>
      <c r="I12" s="1307"/>
      <c r="J12" s="1307"/>
      <c r="K12" s="1307"/>
      <c r="L12" s="1307"/>
      <c r="M12" s="1307"/>
      <c r="N12" s="1307"/>
      <c r="O12" s="1306"/>
      <c r="P12" s="1306"/>
      <c r="Q12" s="1306"/>
      <c r="R12" s="1307"/>
      <c r="S12" s="1307"/>
      <c r="T12" s="1307"/>
      <c r="U12" s="1307"/>
      <c r="V12" s="1307"/>
      <c r="Z12" t="s">
        <v>619</v>
      </c>
      <c r="AA12" s="1307"/>
      <c r="AB12" s="1307"/>
      <c r="AC12" s="1307"/>
      <c r="AD12" s="1306"/>
      <c r="AE12" s="1306"/>
      <c r="AF12" s="1307"/>
      <c r="AG12" s="1307"/>
      <c r="AI12" s="1593" t="s">
        <v>620</v>
      </c>
      <c r="AJ12" s="1593"/>
      <c r="AK12" s="1307"/>
      <c r="AL12" s="1307"/>
      <c r="AM12" s="1307"/>
      <c r="AN12" s="1306"/>
      <c r="AO12" s="1306"/>
      <c r="AP12" s="1307"/>
      <c r="AQ12" s="1307"/>
      <c r="AV12" s="1307"/>
      <c r="AW12" s="1307"/>
      <c r="AX12" s="1307"/>
      <c r="AY12" s="1306"/>
      <c r="AZ12" s="1306"/>
      <c r="BA12" s="1307"/>
      <c r="BB12" s="1307"/>
      <c r="BD12" s="1307"/>
      <c r="BE12" s="1307"/>
      <c r="BF12" s="1307"/>
      <c r="BG12" s="1306"/>
      <c r="BH12" s="1306"/>
      <c r="BI12" s="1307"/>
      <c r="BJ12" s="1307"/>
    </row>
    <row r="13" spans="1:62" x14ac:dyDescent="0.25">
      <c r="A13" s="1317"/>
      <c r="B13" s="1330"/>
      <c r="C13" s="1328"/>
      <c r="D13" s="1328"/>
      <c r="E13" s="649"/>
      <c r="F13" s="649"/>
      <c r="G13" s="649"/>
      <c r="H13" s="649"/>
      <c r="I13" s="649"/>
      <c r="J13" s="649"/>
      <c r="K13" s="649"/>
      <c r="L13" s="649"/>
      <c r="M13" s="649"/>
      <c r="N13" s="649"/>
      <c r="O13" s="649"/>
      <c r="P13" s="649"/>
      <c r="Q13" s="649"/>
      <c r="R13" s="649"/>
      <c r="S13" s="649"/>
      <c r="T13" s="649"/>
      <c r="U13" s="649"/>
      <c r="V13" s="649"/>
    </row>
    <row r="14" spans="1:62" x14ac:dyDescent="0.25">
      <c r="A14" s="1317" t="s">
        <v>602</v>
      </c>
      <c r="B14" s="1330"/>
      <c r="C14" s="1328"/>
      <c r="D14" s="1328"/>
      <c r="E14" s="649">
        <v>770</v>
      </c>
      <c r="F14" s="649">
        <v>470</v>
      </c>
      <c r="G14" s="649"/>
      <c r="H14" s="649">
        <v>2780</v>
      </c>
      <c r="I14" s="649">
        <v>2770</v>
      </c>
      <c r="J14" s="649"/>
      <c r="K14" s="649">
        <v>4370</v>
      </c>
      <c r="L14" s="649">
        <v>6220</v>
      </c>
      <c r="M14" s="649"/>
      <c r="N14" s="649">
        <v>620</v>
      </c>
      <c r="O14" s="649">
        <v>540</v>
      </c>
      <c r="P14" s="649"/>
      <c r="Q14" s="649">
        <v>2190</v>
      </c>
      <c r="R14" s="649">
        <v>2540</v>
      </c>
      <c r="S14" s="649">
        <v>960</v>
      </c>
      <c r="T14" s="649"/>
      <c r="U14" s="649">
        <v>2520</v>
      </c>
      <c r="V14" s="649">
        <v>1080</v>
      </c>
      <c r="Y14" s="1332">
        <v>1</v>
      </c>
      <c r="Z14" s="1333" t="s">
        <v>510</v>
      </c>
      <c r="AA14" s="668">
        <v>32.5</v>
      </c>
      <c r="AB14" s="668">
        <v>63.5</v>
      </c>
      <c r="AC14" s="668">
        <v>41.1</v>
      </c>
      <c r="AD14" s="668">
        <v>55</v>
      </c>
      <c r="AE14" s="668">
        <v>71.7</v>
      </c>
      <c r="AF14" s="668">
        <v>88.2</v>
      </c>
      <c r="AG14" s="668">
        <v>103.9</v>
      </c>
      <c r="AI14" t="s">
        <v>621</v>
      </c>
      <c r="AJ14" t="s">
        <v>551</v>
      </c>
      <c r="AK14" s="887">
        <v>37.537500000000001</v>
      </c>
      <c r="AL14" s="887">
        <v>73.342500000000001</v>
      </c>
      <c r="AM14" s="887">
        <v>47.470500000000008</v>
      </c>
      <c r="AN14" s="887">
        <v>63.525000000000006</v>
      </c>
      <c r="AO14" s="887">
        <v>82.813500000000019</v>
      </c>
      <c r="AP14" s="887">
        <v>101.87100000000002</v>
      </c>
      <c r="AQ14" s="887">
        <v>120.00450000000002</v>
      </c>
      <c r="AT14" t="s">
        <v>621</v>
      </c>
      <c r="AU14" t="s">
        <v>551</v>
      </c>
      <c r="AV14" s="804">
        <f>AK14-AA14</f>
        <v>5.0375000000000014</v>
      </c>
      <c r="AW14" s="804">
        <f t="shared" ref="AW14:BB14" si="0">AL14-AB14</f>
        <v>9.8425000000000011</v>
      </c>
      <c r="AX14" s="804">
        <f t="shared" si="0"/>
        <v>6.3705000000000069</v>
      </c>
      <c r="AY14" s="804">
        <f t="shared" si="0"/>
        <v>8.5250000000000057</v>
      </c>
      <c r="AZ14" s="804">
        <f t="shared" si="0"/>
        <v>11.113500000000016</v>
      </c>
      <c r="BA14" s="804">
        <f t="shared" si="0"/>
        <v>13.671000000000021</v>
      </c>
      <c r="BB14" s="804">
        <f t="shared" si="0"/>
        <v>16.104500000000016</v>
      </c>
      <c r="BD14" s="5">
        <f>AV14/AA14</f>
        <v>0.15500000000000005</v>
      </c>
      <c r="BE14" s="5">
        <f t="shared" ref="BE14:BJ14" si="1">AW14/AB14</f>
        <v>0.15500000000000003</v>
      </c>
      <c r="BF14" s="5">
        <f t="shared" si="1"/>
        <v>0.15500000000000017</v>
      </c>
      <c r="BG14" s="5">
        <f t="shared" si="1"/>
        <v>0.15500000000000011</v>
      </c>
      <c r="BH14" s="5">
        <f t="shared" si="1"/>
        <v>0.15500000000000022</v>
      </c>
      <c r="BI14" s="5">
        <f t="shared" si="1"/>
        <v>0.15500000000000022</v>
      </c>
      <c r="BJ14" s="5">
        <f t="shared" si="1"/>
        <v>0.15500000000000014</v>
      </c>
    </row>
    <row r="15" spans="1:62" x14ac:dyDescent="0.25">
      <c r="A15" s="1334" t="s">
        <v>603</v>
      </c>
      <c r="B15" s="1335"/>
      <c r="C15" s="1336"/>
      <c r="D15" s="1336"/>
      <c r="E15" s="649">
        <v>140</v>
      </c>
      <c r="F15" s="649">
        <v>120</v>
      </c>
      <c r="G15" s="649"/>
      <c r="H15" s="649">
        <v>530</v>
      </c>
      <c r="I15" s="649">
        <v>640</v>
      </c>
      <c r="J15" s="649"/>
      <c r="K15" s="649">
        <v>840</v>
      </c>
      <c r="L15" s="649">
        <v>1190</v>
      </c>
      <c r="M15" s="649"/>
      <c r="N15" s="649">
        <v>140</v>
      </c>
      <c r="O15" s="649">
        <v>130</v>
      </c>
      <c r="P15" s="649"/>
      <c r="Q15" s="649">
        <v>420</v>
      </c>
      <c r="R15" s="649">
        <v>510</v>
      </c>
      <c r="S15" s="649">
        <v>190</v>
      </c>
      <c r="T15" s="649"/>
      <c r="U15" s="649">
        <v>410</v>
      </c>
      <c r="V15" s="649">
        <v>170</v>
      </c>
      <c r="Y15" s="1332">
        <v>2</v>
      </c>
      <c r="Z15" s="1333" t="s">
        <v>511</v>
      </c>
      <c r="AA15" s="668">
        <v>9.1999999999999993</v>
      </c>
      <c r="AB15" s="668">
        <v>15.9</v>
      </c>
      <c r="AC15" s="668">
        <v>7.5</v>
      </c>
      <c r="AD15" s="668">
        <v>6.6</v>
      </c>
      <c r="AE15" s="668">
        <v>12.4</v>
      </c>
      <c r="AF15" s="668">
        <v>11.6</v>
      </c>
      <c r="AG15" s="668">
        <v>10.7</v>
      </c>
      <c r="AI15" t="s">
        <v>622</v>
      </c>
      <c r="AJ15" t="s">
        <v>623</v>
      </c>
      <c r="AK15" s="887">
        <v>10.626000000000001</v>
      </c>
      <c r="AL15" s="887">
        <v>18.364500000000003</v>
      </c>
      <c r="AM15" s="887">
        <v>8.6625000000000014</v>
      </c>
      <c r="AN15" s="887">
        <v>7.6230000000000002</v>
      </c>
      <c r="AO15" s="887">
        <v>14.322000000000003</v>
      </c>
      <c r="AP15" s="887">
        <v>13.398000000000001</v>
      </c>
      <c r="AQ15" s="887">
        <v>12.358500000000001</v>
      </c>
      <c r="AT15" t="s">
        <v>622</v>
      </c>
      <c r="AU15" t="s">
        <v>623</v>
      </c>
      <c r="AV15" s="804">
        <f t="shared" ref="AV15:AV22" si="2">AK15-AA15</f>
        <v>1.4260000000000019</v>
      </c>
      <c r="AW15" s="804">
        <f t="shared" ref="AW15:AW22" si="3">AL15-AB15</f>
        <v>2.4645000000000028</v>
      </c>
      <c r="AX15" s="804">
        <f t="shared" ref="AX15:AX22" si="4">AM15-AC15</f>
        <v>1.1625000000000014</v>
      </c>
      <c r="AY15" s="804">
        <f t="shared" ref="AY15:AY22" si="5">AN15-AD15</f>
        <v>1.0230000000000006</v>
      </c>
      <c r="AZ15" s="804">
        <f t="shared" ref="AZ15:AZ22" si="6">AO15-AE15</f>
        <v>1.9220000000000024</v>
      </c>
      <c r="BA15" s="804">
        <f t="shared" ref="BA15:BA22" si="7">AP15-AF15</f>
        <v>1.7980000000000018</v>
      </c>
      <c r="BB15" s="804">
        <f t="shared" ref="BB15:BB22" si="8">AQ15-AG15</f>
        <v>1.6585000000000019</v>
      </c>
      <c r="BD15" s="5">
        <f t="shared" ref="BD15:BD31" si="9">AV15/AA15</f>
        <v>0.15500000000000022</v>
      </c>
      <c r="BE15" s="5">
        <f t="shared" ref="BE15:BE31" si="10">AW15/AB15</f>
        <v>0.15500000000000017</v>
      </c>
      <c r="BF15" s="5">
        <f t="shared" ref="BF15:BF31" si="11">AX15/AC15</f>
        <v>0.15500000000000019</v>
      </c>
      <c r="BG15" s="5">
        <f t="shared" ref="BG15:BG31" si="12">AY15/AD15</f>
        <v>0.15500000000000008</v>
      </c>
      <c r="BH15" s="5">
        <f t="shared" ref="BH15:BH31" si="13">AZ15/AE15</f>
        <v>0.15500000000000019</v>
      </c>
      <c r="BI15" s="5">
        <f t="shared" ref="BI15:BI31" si="14">BA15/AF15</f>
        <v>0.15500000000000017</v>
      </c>
      <c r="BJ15" s="5">
        <f t="shared" ref="BJ15:BJ31" si="15">BB15/AG15</f>
        <v>0.15500000000000019</v>
      </c>
    </row>
    <row r="16" spans="1:62" x14ac:dyDescent="0.25">
      <c r="A16" s="1334" t="s">
        <v>604</v>
      </c>
      <c r="B16" s="1335"/>
      <c r="C16" s="1336"/>
      <c r="D16" s="1336"/>
      <c r="E16" s="649">
        <v>140</v>
      </c>
      <c r="F16" s="649">
        <v>240</v>
      </c>
      <c r="G16" s="649"/>
      <c r="H16" s="649">
        <v>530</v>
      </c>
      <c r="I16" s="649">
        <v>1290</v>
      </c>
      <c r="J16" s="649"/>
      <c r="K16" s="649">
        <v>840</v>
      </c>
      <c r="L16" s="649">
        <v>2390</v>
      </c>
      <c r="M16" s="649"/>
      <c r="N16" s="649">
        <v>290</v>
      </c>
      <c r="O16" s="649">
        <v>440</v>
      </c>
      <c r="P16" s="649"/>
      <c r="Q16" s="649">
        <v>1270</v>
      </c>
      <c r="R16" s="649">
        <v>2040</v>
      </c>
      <c r="S16" s="649">
        <v>990</v>
      </c>
      <c r="T16" s="649"/>
      <c r="U16" s="649">
        <v>1370</v>
      </c>
      <c r="V16" s="649">
        <v>850</v>
      </c>
      <c r="Y16" s="1332">
        <v>3</v>
      </c>
      <c r="Z16" s="1337" t="s">
        <v>512</v>
      </c>
      <c r="AA16" s="668">
        <v>11</v>
      </c>
      <c r="AB16" s="668">
        <v>24</v>
      </c>
      <c r="AC16" s="668">
        <v>16.899999999999999</v>
      </c>
      <c r="AD16" s="668">
        <v>23.8</v>
      </c>
      <c r="AE16" s="668">
        <v>31.4</v>
      </c>
      <c r="AF16" s="668">
        <v>33.5</v>
      </c>
      <c r="AG16" s="668">
        <v>31.1</v>
      </c>
      <c r="AI16" t="s">
        <v>624</v>
      </c>
      <c r="AJ16" t="s">
        <v>554</v>
      </c>
      <c r="AK16" s="887">
        <v>12.705000000000002</v>
      </c>
      <c r="AL16" s="887">
        <v>27.720000000000006</v>
      </c>
      <c r="AM16" s="887">
        <v>19.519500000000004</v>
      </c>
      <c r="AN16" s="887">
        <v>27.489000000000004</v>
      </c>
      <c r="AO16" s="887">
        <v>36.267000000000003</v>
      </c>
      <c r="AP16" s="887">
        <v>38.69250000000001</v>
      </c>
      <c r="AQ16" s="887">
        <v>35.920500000000004</v>
      </c>
      <c r="AT16" t="s">
        <v>624</v>
      </c>
      <c r="AU16" t="s">
        <v>554</v>
      </c>
      <c r="AV16" s="804">
        <f t="shared" si="2"/>
        <v>1.7050000000000018</v>
      </c>
      <c r="AW16" s="804">
        <f t="shared" si="3"/>
        <v>3.720000000000006</v>
      </c>
      <c r="AX16" s="804">
        <f t="shared" si="4"/>
        <v>2.6195000000000057</v>
      </c>
      <c r="AY16" s="804">
        <f t="shared" si="5"/>
        <v>3.6890000000000036</v>
      </c>
      <c r="AZ16" s="804">
        <f t="shared" si="6"/>
        <v>4.8670000000000044</v>
      </c>
      <c r="BA16" s="804">
        <f t="shared" si="7"/>
        <v>5.1925000000000097</v>
      </c>
      <c r="BB16" s="804">
        <f t="shared" si="8"/>
        <v>4.8205000000000027</v>
      </c>
      <c r="BD16" s="5">
        <f t="shared" si="9"/>
        <v>0.15500000000000017</v>
      </c>
      <c r="BE16" s="5">
        <f t="shared" si="10"/>
        <v>0.15500000000000025</v>
      </c>
      <c r="BF16" s="5">
        <f t="shared" si="11"/>
        <v>0.15500000000000036</v>
      </c>
      <c r="BG16" s="5">
        <f t="shared" si="12"/>
        <v>0.15500000000000014</v>
      </c>
      <c r="BH16" s="5">
        <f t="shared" si="13"/>
        <v>0.15500000000000014</v>
      </c>
      <c r="BI16" s="5">
        <f t="shared" si="14"/>
        <v>0.15500000000000028</v>
      </c>
      <c r="BJ16" s="5">
        <f t="shared" si="15"/>
        <v>0.15500000000000008</v>
      </c>
    </row>
    <row r="17" spans="1:62" x14ac:dyDescent="0.25">
      <c r="A17" s="1334" t="s">
        <v>605</v>
      </c>
      <c r="B17" s="1335"/>
      <c r="C17" s="1336"/>
      <c r="D17" s="1336"/>
      <c r="E17" s="649">
        <v>140</v>
      </c>
      <c r="F17" s="649">
        <v>240</v>
      </c>
      <c r="G17" s="649"/>
      <c r="H17" s="649">
        <v>530</v>
      </c>
      <c r="I17" s="649">
        <v>1290</v>
      </c>
      <c r="J17" s="649"/>
      <c r="K17" s="649">
        <v>840</v>
      </c>
      <c r="L17" s="649">
        <v>2390</v>
      </c>
      <c r="M17" s="649"/>
      <c r="N17" s="649">
        <v>140</v>
      </c>
      <c r="O17" s="649">
        <v>130</v>
      </c>
      <c r="P17" s="649"/>
      <c r="Q17" s="649">
        <v>850</v>
      </c>
      <c r="R17" s="649">
        <v>1020</v>
      </c>
      <c r="S17" s="649">
        <v>370</v>
      </c>
      <c r="T17" s="649"/>
      <c r="U17" s="649">
        <v>1370</v>
      </c>
      <c r="V17" s="649">
        <v>570</v>
      </c>
      <c r="Y17" s="1332">
        <v>4</v>
      </c>
      <c r="Z17" s="1333" t="s">
        <v>513</v>
      </c>
      <c r="AA17" s="668">
        <v>74</v>
      </c>
      <c r="AB17" s="668">
        <v>92.3</v>
      </c>
      <c r="AC17" s="668">
        <v>99.4</v>
      </c>
      <c r="AD17" s="668">
        <v>94.4</v>
      </c>
      <c r="AE17" s="668">
        <v>99.9</v>
      </c>
      <c r="AF17" s="668">
        <v>98</v>
      </c>
      <c r="AG17" s="668">
        <v>102.2</v>
      </c>
      <c r="AI17" t="s">
        <v>625</v>
      </c>
      <c r="AJ17" t="s">
        <v>626</v>
      </c>
      <c r="AK17" s="887">
        <v>108.78</v>
      </c>
      <c r="AL17" s="887">
        <v>135.68100000000001</v>
      </c>
      <c r="AM17" s="887">
        <v>146.11799999999999</v>
      </c>
      <c r="AN17" s="887">
        <v>138.768</v>
      </c>
      <c r="AO17" s="887">
        <v>146.85300000000001</v>
      </c>
      <c r="AP17" s="887">
        <v>144.06</v>
      </c>
      <c r="AQ17" s="887">
        <v>150.23399999999998</v>
      </c>
      <c r="AT17" t="s">
        <v>625</v>
      </c>
      <c r="AU17" t="s">
        <v>626</v>
      </c>
      <c r="AV17" s="804">
        <f t="shared" si="2"/>
        <v>34.78</v>
      </c>
      <c r="AW17" s="804">
        <f t="shared" si="3"/>
        <v>43.381000000000014</v>
      </c>
      <c r="AX17" s="804">
        <f t="shared" si="4"/>
        <v>46.717999999999989</v>
      </c>
      <c r="AY17" s="804">
        <f t="shared" si="5"/>
        <v>44.367999999999995</v>
      </c>
      <c r="AZ17" s="804">
        <f t="shared" si="6"/>
        <v>46.953000000000003</v>
      </c>
      <c r="BA17" s="804">
        <f t="shared" si="7"/>
        <v>46.06</v>
      </c>
      <c r="BB17" s="804">
        <f t="shared" si="8"/>
        <v>48.033999999999978</v>
      </c>
      <c r="BD17" s="5">
        <f t="shared" si="9"/>
        <v>0.47000000000000003</v>
      </c>
      <c r="BE17" s="5">
        <f t="shared" si="10"/>
        <v>0.4700000000000002</v>
      </c>
      <c r="BF17" s="5">
        <f t="shared" si="11"/>
        <v>0.46999999999999986</v>
      </c>
      <c r="BG17" s="5">
        <f t="shared" si="12"/>
        <v>0.46999999999999992</v>
      </c>
      <c r="BH17" s="5">
        <f t="shared" si="13"/>
        <v>0.47000000000000003</v>
      </c>
      <c r="BI17" s="5">
        <f t="shared" si="14"/>
        <v>0.47000000000000003</v>
      </c>
      <c r="BJ17" s="5">
        <f t="shared" si="15"/>
        <v>0.46999999999999975</v>
      </c>
    </row>
    <row r="18" spans="1:62" x14ac:dyDescent="0.25">
      <c r="A18" s="1317"/>
      <c r="B18" s="1330"/>
      <c r="C18" s="1328"/>
      <c r="D18" s="1328"/>
      <c r="E18" s="650"/>
      <c r="F18" s="650"/>
      <c r="G18" s="650"/>
      <c r="H18" s="650"/>
      <c r="I18" s="650"/>
      <c r="J18" s="650"/>
      <c r="K18" s="651"/>
      <c r="L18" s="651"/>
      <c r="M18" s="651"/>
      <c r="N18" s="650"/>
      <c r="O18" s="650"/>
      <c r="P18" s="650"/>
      <c r="Q18" s="651"/>
      <c r="R18" s="650"/>
      <c r="S18" s="650"/>
      <c r="T18" s="650"/>
      <c r="U18" s="650"/>
      <c r="V18" s="650"/>
      <c r="Y18" s="1332">
        <v>5</v>
      </c>
      <c r="Z18" s="1333" t="s">
        <v>514</v>
      </c>
      <c r="AA18" s="668">
        <v>19.100000000000001</v>
      </c>
      <c r="AB18" s="668">
        <v>42.5</v>
      </c>
      <c r="AC18" s="668">
        <v>21.9</v>
      </c>
      <c r="AD18" s="668">
        <v>21.2</v>
      </c>
      <c r="AE18" s="668">
        <v>50.7</v>
      </c>
      <c r="AF18" s="668">
        <v>46.7</v>
      </c>
      <c r="AG18" s="668">
        <v>49.7</v>
      </c>
      <c r="AI18" t="s">
        <v>627</v>
      </c>
      <c r="AJ18" t="s">
        <v>628</v>
      </c>
      <c r="AK18" s="887">
        <v>22.060500000000005</v>
      </c>
      <c r="AL18" s="887">
        <v>49.087500000000006</v>
      </c>
      <c r="AM18" s="887">
        <v>25.294500000000003</v>
      </c>
      <c r="AN18" s="887">
        <v>24.486000000000004</v>
      </c>
      <c r="AO18" s="887">
        <v>58.558500000000009</v>
      </c>
      <c r="AP18" s="887">
        <v>53.938500000000012</v>
      </c>
      <c r="AQ18" s="887">
        <v>57.403500000000008</v>
      </c>
      <c r="AT18" t="s">
        <v>627</v>
      </c>
      <c r="AU18" t="s">
        <v>628</v>
      </c>
      <c r="AV18" s="804">
        <f t="shared" si="2"/>
        <v>2.9605000000000032</v>
      </c>
      <c r="AW18" s="804">
        <f t="shared" si="3"/>
        <v>6.5875000000000057</v>
      </c>
      <c r="AX18" s="804">
        <f t="shared" si="4"/>
        <v>3.3945000000000043</v>
      </c>
      <c r="AY18" s="804">
        <f t="shared" si="5"/>
        <v>3.2860000000000049</v>
      </c>
      <c r="AZ18" s="804">
        <f t="shared" si="6"/>
        <v>7.8585000000000065</v>
      </c>
      <c r="BA18" s="804">
        <f t="shared" si="7"/>
        <v>7.238500000000009</v>
      </c>
      <c r="BB18" s="804">
        <f t="shared" si="8"/>
        <v>7.7035000000000053</v>
      </c>
      <c r="BD18" s="5">
        <f t="shared" si="9"/>
        <v>0.15500000000000017</v>
      </c>
      <c r="BE18" s="5">
        <f t="shared" si="10"/>
        <v>0.15500000000000014</v>
      </c>
      <c r="BF18" s="5">
        <f t="shared" si="11"/>
        <v>0.15500000000000019</v>
      </c>
      <c r="BG18" s="5">
        <f t="shared" si="12"/>
        <v>0.15500000000000025</v>
      </c>
      <c r="BH18" s="5">
        <f t="shared" si="13"/>
        <v>0.15500000000000011</v>
      </c>
      <c r="BI18" s="5">
        <f t="shared" si="14"/>
        <v>0.15500000000000019</v>
      </c>
      <c r="BJ18" s="5">
        <f t="shared" si="15"/>
        <v>0.15500000000000011</v>
      </c>
    </row>
    <row r="19" spans="1:62" x14ac:dyDescent="0.25">
      <c r="A19" s="1338" t="s">
        <v>606</v>
      </c>
      <c r="B19" s="1339"/>
      <c r="C19" s="651"/>
      <c r="D19" s="651"/>
      <c r="E19" s="651">
        <v>1</v>
      </c>
      <c r="F19" s="651">
        <v>2</v>
      </c>
      <c r="G19" s="651"/>
      <c r="H19" s="651">
        <v>1</v>
      </c>
      <c r="I19" s="651">
        <v>2</v>
      </c>
      <c r="J19" s="651"/>
      <c r="K19" s="651">
        <v>1</v>
      </c>
      <c r="L19" s="651">
        <v>2</v>
      </c>
      <c r="M19" s="651"/>
      <c r="N19" s="651">
        <v>2</v>
      </c>
      <c r="O19" s="651">
        <v>3.4</v>
      </c>
      <c r="P19" s="651"/>
      <c r="Q19" s="651">
        <v>3</v>
      </c>
      <c r="R19" s="651">
        <v>4</v>
      </c>
      <c r="S19" s="651">
        <v>5.2</v>
      </c>
      <c r="T19" s="651"/>
      <c r="U19" s="651">
        <v>3.4</v>
      </c>
      <c r="V19" s="651">
        <v>5</v>
      </c>
      <c r="Y19" s="1332">
        <v>6</v>
      </c>
      <c r="Z19" s="1333" t="s">
        <v>515</v>
      </c>
      <c r="AA19" s="668">
        <v>5.3</v>
      </c>
      <c r="AB19" s="668">
        <v>10.5</v>
      </c>
      <c r="AC19" s="668">
        <v>2.5</v>
      </c>
      <c r="AD19" s="668">
        <v>3.1</v>
      </c>
      <c r="AE19" s="668">
        <v>5.3</v>
      </c>
      <c r="AF19" s="668">
        <v>7.1</v>
      </c>
      <c r="AG19" s="668">
        <v>7.2</v>
      </c>
      <c r="AI19" t="s">
        <v>629</v>
      </c>
      <c r="AJ19" t="s">
        <v>515</v>
      </c>
      <c r="AK19" s="887">
        <v>6.1215000000000011</v>
      </c>
      <c r="AL19" s="887">
        <v>12.127500000000001</v>
      </c>
      <c r="AM19" s="887">
        <v>2.8875000000000002</v>
      </c>
      <c r="AN19" s="887">
        <v>3.5805000000000007</v>
      </c>
      <c r="AO19" s="887">
        <v>6.1215000000000011</v>
      </c>
      <c r="AP19" s="887">
        <v>8.2004999999999999</v>
      </c>
      <c r="AQ19" s="887">
        <v>8.3160000000000007</v>
      </c>
      <c r="AT19" t="s">
        <v>629</v>
      </c>
      <c r="AU19" t="s">
        <v>515</v>
      </c>
      <c r="AV19" s="804">
        <f t="shared" si="2"/>
        <v>0.82150000000000123</v>
      </c>
      <c r="AW19" s="804">
        <f t="shared" si="3"/>
        <v>1.6275000000000013</v>
      </c>
      <c r="AX19" s="804">
        <f t="shared" si="4"/>
        <v>0.38750000000000018</v>
      </c>
      <c r="AY19" s="804">
        <f t="shared" si="5"/>
        <v>0.48050000000000059</v>
      </c>
      <c r="AZ19" s="804">
        <f t="shared" si="6"/>
        <v>0.82150000000000123</v>
      </c>
      <c r="BA19" s="804">
        <f t="shared" si="7"/>
        <v>1.1005000000000003</v>
      </c>
      <c r="BB19" s="804">
        <f t="shared" si="8"/>
        <v>1.1160000000000005</v>
      </c>
      <c r="BD19" s="5">
        <f t="shared" si="9"/>
        <v>0.15500000000000025</v>
      </c>
      <c r="BE19" s="5">
        <f t="shared" si="10"/>
        <v>0.15500000000000011</v>
      </c>
      <c r="BF19" s="5">
        <f t="shared" si="11"/>
        <v>0.15500000000000008</v>
      </c>
      <c r="BG19" s="5">
        <f t="shared" si="12"/>
        <v>0.15500000000000019</v>
      </c>
      <c r="BH19" s="5">
        <f t="shared" si="13"/>
        <v>0.15500000000000025</v>
      </c>
      <c r="BI19" s="5">
        <f t="shared" si="14"/>
        <v>0.15500000000000005</v>
      </c>
      <c r="BJ19" s="5">
        <f t="shared" si="15"/>
        <v>0.15500000000000008</v>
      </c>
    </row>
    <row r="20" spans="1:62" x14ac:dyDescent="0.25">
      <c r="A20" s="1305"/>
      <c r="B20" s="1305"/>
      <c r="C20" s="1306"/>
      <c r="D20" s="1306"/>
      <c r="E20" s="1307"/>
      <c r="F20" s="1307"/>
      <c r="G20" s="1307"/>
      <c r="H20" s="1307"/>
      <c r="I20" s="1307"/>
      <c r="J20" s="1307"/>
      <c r="K20" s="1307"/>
      <c r="L20" s="1307"/>
      <c r="M20" s="1307"/>
      <c r="N20" s="1307"/>
      <c r="O20" s="1307"/>
      <c r="P20" s="1307"/>
      <c r="Q20" s="1307"/>
      <c r="R20" s="1307"/>
      <c r="S20" s="1307"/>
      <c r="T20" s="1307"/>
      <c r="U20" s="1307"/>
      <c r="V20" s="1307"/>
      <c r="Y20" s="1332">
        <v>7</v>
      </c>
      <c r="Z20" s="1333" t="s">
        <v>516</v>
      </c>
      <c r="AA20" s="668">
        <v>45.2</v>
      </c>
      <c r="AB20" s="668">
        <v>101</v>
      </c>
      <c r="AC20" s="668">
        <v>38.6</v>
      </c>
      <c r="AD20" s="668">
        <v>43.1</v>
      </c>
      <c r="AE20" s="668">
        <v>100.6</v>
      </c>
      <c r="AF20" s="668">
        <v>115.8</v>
      </c>
      <c r="AG20" s="668">
        <v>106.6</v>
      </c>
      <c r="AI20" t="s">
        <v>630</v>
      </c>
      <c r="AJ20" t="s">
        <v>516</v>
      </c>
      <c r="AK20" s="887">
        <v>52.20600000000001</v>
      </c>
      <c r="AL20" s="887">
        <v>116.65500000000002</v>
      </c>
      <c r="AM20" s="887">
        <v>44.583000000000006</v>
      </c>
      <c r="AN20" s="887">
        <v>49.780500000000004</v>
      </c>
      <c r="AO20" s="887">
        <v>116.193</v>
      </c>
      <c r="AP20" s="887">
        <v>133.74900000000002</v>
      </c>
      <c r="AQ20" s="887">
        <v>123.123</v>
      </c>
      <c r="AT20" t="s">
        <v>630</v>
      </c>
      <c r="AU20" t="s">
        <v>516</v>
      </c>
      <c r="AV20" s="804">
        <f t="shared" si="2"/>
        <v>7.0060000000000073</v>
      </c>
      <c r="AW20" s="804">
        <f t="shared" si="3"/>
        <v>15.655000000000015</v>
      </c>
      <c r="AX20" s="804">
        <f t="shared" si="4"/>
        <v>5.9830000000000041</v>
      </c>
      <c r="AY20" s="804">
        <f t="shared" si="5"/>
        <v>6.6805000000000021</v>
      </c>
      <c r="AZ20" s="804">
        <f t="shared" si="6"/>
        <v>15.593000000000004</v>
      </c>
      <c r="BA20" s="804">
        <f t="shared" si="7"/>
        <v>17.949000000000026</v>
      </c>
      <c r="BB20" s="804">
        <f t="shared" si="8"/>
        <v>16.52300000000001</v>
      </c>
      <c r="BD20" s="5">
        <f t="shared" si="9"/>
        <v>0.15500000000000017</v>
      </c>
      <c r="BE20" s="5">
        <f t="shared" si="10"/>
        <v>0.15500000000000017</v>
      </c>
      <c r="BF20" s="5">
        <f t="shared" si="11"/>
        <v>0.15500000000000011</v>
      </c>
      <c r="BG20" s="5">
        <f t="shared" si="12"/>
        <v>0.15500000000000005</v>
      </c>
      <c r="BH20" s="5">
        <f t="shared" si="13"/>
        <v>0.15500000000000005</v>
      </c>
      <c r="BI20" s="5">
        <f t="shared" si="14"/>
        <v>0.15500000000000022</v>
      </c>
      <c r="BJ20" s="5">
        <f t="shared" si="15"/>
        <v>0.15500000000000011</v>
      </c>
    </row>
    <row r="21" spans="1:62" x14ac:dyDescent="0.25">
      <c r="A21" s="1317"/>
      <c r="B21" s="1330"/>
      <c r="C21" s="1328"/>
      <c r="D21" s="1328"/>
      <c r="E21" s="650"/>
      <c r="F21" s="650"/>
      <c r="G21" s="650"/>
      <c r="H21" s="650"/>
      <c r="I21" s="650"/>
      <c r="J21" s="650"/>
      <c r="K21" s="650"/>
      <c r="L21" s="650"/>
      <c r="M21" s="650"/>
      <c r="N21" s="650"/>
      <c r="O21" s="650"/>
      <c r="P21" s="650"/>
      <c r="Q21" s="650"/>
      <c r="R21" s="650"/>
      <c r="S21" s="650"/>
      <c r="T21" s="650"/>
      <c r="U21" s="650"/>
      <c r="V21" s="650"/>
      <c r="Y21" s="1332">
        <v>8</v>
      </c>
      <c r="Z21" s="1333" t="s">
        <v>517</v>
      </c>
      <c r="AA21" s="668">
        <v>13.6</v>
      </c>
      <c r="AB21" s="668">
        <v>23.8</v>
      </c>
      <c r="AC21" s="668">
        <v>15.5</v>
      </c>
      <c r="AD21" s="668">
        <v>17.8</v>
      </c>
      <c r="AE21" s="668">
        <v>25.6</v>
      </c>
      <c r="AF21" s="668">
        <v>25.7</v>
      </c>
      <c r="AG21" s="668">
        <v>27</v>
      </c>
      <c r="AI21" t="s">
        <v>631</v>
      </c>
      <c r="AJ21" t="s">
        <v>517</v>
      </c>
      <c r="AK21" s="887">
        <v>15.708</v>
      </c>
      <c r="AL21" s="887">
        <v>27.489000000000004</v>
      </c>
      <c r="AM21" s="887">
        <v>17.902500000000003</v>
      </c>
      <c r="AN21" s="887">
        <v>20.559000000000005</v>
      </c>
      <c r="AO21" s="887">
        <v>29.568000000000005</v>
      </c>
      <c r="AP21" s="887">
        <v>29.683500000000002</v>
      </c>
      <c r="AQ21" s="887">
        <v>31.185000000000006</v>
      </c>
      <c r="AT21" t="s">
        <v>631</v>
      </c>
      <c r="AU21" t="s">
        <v>517</v>
      </c>
      <c r="AV21" s="804">
        <f t="shared" si="2"/>
        <v>2.1080000000000005</v>
      </c>
      <c r="AW21" s="804">
        <f t="shared" si="3"/>
        <v>3.6890000000000036</v>
      </c>
      <c r="AX21" s="804">
        <f t="shared" si="4"/>
        <v>2.4025000000000034</v>
      </c>
      <c r="AY21" s="804">
        <f t="shared" si="5"/>
        <v>2.7590000000000039</v>
      </c>
      <c r="AZ21" s="804">
        <f t="shared" si="6"/>
        <v>3.9680000000000035</v>
      </c>
      <c r="BA21" s="804">
        <f t="shared" si="7"/>
        <v>3.9835000000000029</v>
      </c>
      <c r="BB21" s="804">
        <f t="shared" si="8"/>
        <v>4.1850000000000058</v>
      </c>
      <c r="BD21" s="5">
        <f t="shared" si="9"/>
        <v>0.15500000000000005</v>
      </c>
      <c r="BE21" s="5">
        <f t="shared" si="10"/>
        <v>0.15500000000000014</v>
      </c>
      <c r="BF21" s="5">
        <f t="shared" si="11"/>
        <v>0.15500000000000022</v>
      </c>
      <c r="BG21" s="5">
        <f t="shared" si="12"/>
        <v>0.15500000000000022</v>
      </c>
      <c r="BH21" s="5">
        <f t="shared" si="13"/>
        <v>0.15500000000000014</v>
      </c>
      <c r="BI21" s="5">
        <f t="shared" si="14"/>
        <v>0.15500000000000011</v>
      </c>
      <c r="BJ21" s="5">
        <f t="shared" si="15"/>
        <v>0.15500000000000022</v>
      </c>
    </row>
    <row r="22" spans="1:62" x14ac:dyDescent="0.25">
      <c r="A22" s="1340" t="s">
        <v>607</v>
      </c>
      <c r="B22" s="1341"/>
      <c r="C22" s="1342"/>
      <c r="D22" s="1342"/>
      <c r="E22" s="1343"/>
      <c r="F22" s="1772" t="s">
        <v>608</v>
      </c>
      <c r="G22" s="1772"/>
      <c r="H22" s="1772"/>
      <c r="I22" s="1772"/>
      <c r="J22" s="1772"/>
      <c r="K22" s="1772"/>
      <c r="L22" s="1772"/>
      <c r="M22" s="1772"/>
      <c r="N22" s="1772"/>
      <c r="O22" s="1772"/>
      <c r="P22" s="1772"/>
      <c r="Q22" s="1772"/>
      <c r="R22" s="1772"/>
      <c r="S22" s="1772"/>
      <c r="T22" s="1772"/>
      <c r="U22" s="1772"/>
      <c r="V22" s="1344"/>
      <c r="Y22" s="1332">
        <v>9</v>
      </c>
      <c r="Z22" s="1333" t="s">
        <v>518</v>
      </c>
      <c r="AA22" s="668">
        <v>33.700000000000003</v>
      </c>
      <c r="AB22" s="668">
        <v>87.4</v>
      </c>
      <c r="AC22" s="668">
        <v>37.700000000000003</v>
      </c>
      <c r="AD22" s="668">
        <v>42.1</v>
      </c>
      <c r="AE22" s="668">
        <v>80.400000000000006</v>
      </c>
      <c r="AF22" s="668">
        <v>103.2</v>
      </c>
      <c r="AG22" s="668">
        <v>83.2</v>
      </c>
      <c r="AI22" t="s">
        <v>632</v>
      </c>
      <c r="AJ22" t="s">
        <v>569</v>
      </c>
      <c r="AK22" s="887">
        <v>38.923500000000011</v>
      </c>
      <c r="AL22" s="887">
        <v>100.94700000000002</v>
      </c>
      <c r="AM22" s="887">
        <v>43.543500000000009</v>
      </c>
      <c r="AN22" s="887">
        <v>48.625500000000009</v>
      </c>
      <c r="AO22" s="887">
        <v>92.862000000000023</v>
      </c>
      <c r="AP22" s="887">
        <v>119.19600000000003</v>
      </c>
      <c r="AQ22" s="887">
        <v>96.096000000000018</v>
      </c>
      <c r="AT22" t="s">
        <v>632</v>
      </c>
      <c r="AU22" t="s">
        <v>569</v>
      </c>
      <c r="AV22" s="804">
        <f t="shared" si="2"/>
        <v>5.2235000000000085</v>
      </c>
      <c r="AW22" s="804">
        <f t="shared" si="3"/>
        <v>13.547000000000011</v>
      </c>
      <c r="AX22" s="804">
        <f t="shared" si="4"/>
        <v>5.8435000000000059</v>
      </c>
      <c r="AY22" s="804">
        <f t="shared" si="5"/>
        <v>6.5255000000000081</v>
      </c>
      <c r="AZ22" s="804">
        <f t="shared" si="6"/>
        <v>12.462000000000018</v>
      </c>
      <c r="BA22" s="804">
        <f t="shared" si="7"/>
        <v>15.996000000000024</v>
      </c>
      <c r="BB22" s="804">
        <f t="shared" si="8"/>
        <v>12.896000000000015</v>
      </c>
      <c r="BD22" s="5">
        <f t="shared" si="9"/>
        <v>0.15500000000000025</v>
      </c>
      <c r="BE22" s="5">
        <f t="shared" si="10"/>
        <v>0.15500000000000011</v>
      </c>
      <c r="BF22" s="5">
        <f t="shared" si="11"/>
        <v>0.15500000000000014</v>
      </c>
      <c r="BG22" s="5">
        <f t="shared" si="12"/>
        <v>0.15500000000000019</v>
      </c>
      <c r="BH22" s="5">
        <f t="shared" si="13"/>
        <v>0.15500000000000019</v>
      </c>
      <c r="BI22" s="5">
        <f t="shared" si="14"/>
        <v>0.15500000000000022</v>
      </c>
      <c r="BJ22" s="5">
        <f t="shared" si="15"/>
        <v>0.15500000000000017</v>
      </c>
    </row>
    <row r="23" spans="1:62" x14ac:dyDescent="0.25">
      <c r="A23" s="1305"/>
      <c r="B23" s="1306"/>
      <c r="C23" s="1306"/>
      <c r="D23" s="1306"/>
      <c r="E23" s="1307"/>
      <c r="F23" s="1307"/>
      <c r="G23" s="1307"/>
      <c r="H23" s="1307"/>
      <c r="I23" s="1307"/>
      <c r="J23" s="1307"/>
      <c r="K23" s="1307"/>
      <c r="L23" s="1307"/>
      <c r="M23" s="1307"/>
      <c r="N23" s="1307"/>
      <c r="O23" s="1307"/>
      <c r="P23" s="1307"/>
      <c r="Q23" s="1307"/>
      <c r="R23" s="1307"/>
      <c r="S23" s="1307"/>
      <c r="T23" s="1307"/>
      <c r="U23" s="1307"/>
      <c r="V23" s="1307"/>
      <c r="Y23" s="1332">
        <v>10</v>
      </c>
      <c r="Z23" s="1333" t="s">
        <v>519</v>
      </c>
      <c r="AA23" s="668"/>
      <c r="AB23" s="668"/>
      <c r="AC23" s="668"/>
      <c r="AD23" s="668"/>
      <c r="AE23" s="668"/>
      <c r="AF23" s="668"/>
      <c r="AG23" s="668"/>
      <c r="AI23" t="s">
        <v>633</v>
      </c>
      <c r="AJ23" t="s">
        <v>519</v>
      </c>
      <c r="AK23" s="887"/>
      <c r="AL23" s="887"/>
      <c r="AM23" s="887"/>
      <c r="AN23" s="887"/>
      <c r="AO23" s="887"/>
      <c r="AP23" s="887"/>
      <c r="AQ23" s="887"/>
      <c r="AT23" t="s">
        <v>633</v>
      </c>
      <c r="AU23" t="s">
        <v>519</v>
      </c>
      <c r="AV23" s="804"/>
      <c r="AW23" s="804"/>
      <c r="AX23" s="804"/>
      <c r="AY23" s="804"/>
      <c r="AZ23" s="804"/>
      <c r="BA23" s="804"/>
      <c r="BB23" s="804"/>
      <c r="BD23" s="5"/>
      <c r="BE23" s="5"/>
      <c r="BF23" s="5"/>
      <c r="BG23" s="5"/>
      <c r="BH23" s="5"/>
      <c r="BI23" s="5"/>
      <c r="BJ23" s="5"/>
    </row>
    <row r="24" spans="1:62" x14ac:dyDescent="0.25">
      <c r="A24" s="1310"/>
      <c r="B24" s="1310"/>
      <c r="C24" s="1345"/>
      <c r="D24" s="1345"/>
      <c r="E24" s="1346"/>
      <c r="F24" s="1346"/>
      <c r="G24" s="1346"/>
      <c r="H24" s="1346"/>
      <c r="I24" s="1346"/>
      <c r="J24" s="1346"/>
      <c r="K24" s="1346"/>
      <c r="L24" s="1346"/>
      <c r="M24" s="1346"/>
      <c r="N24" s="1346"/>
      <c r="O24" s="1346"/>
      <c r="P24" s="1346"/>
      <c r="Q24" s="1346"/>
      <c r="R24" s="1346"/>
      <c r="S24" s="1346"/>
      <c r="T24" s="1346"/>
      <c r="U24" s="1346"/>
      <c r="V24" s="1346"/>
      <c r="Y24" s="1332">
        <v>11</v>
      </c>
      <c r="Z24" s="1333" t="s">
        <v>521</v>
      </c>
      <c r="AA24" s="668">
        <v>27.1</v>
      </c>
      <c r="AB24" s="668">
        <v>63.3</v>
      </c>
      <c r="AC24" s="668">
        <v>21.7</v>
      </c>
      <c r="AD24" s="668">
        <v>31.7</v>
      </c>
      <c r="AE24" s="668">
        <v>61.6</v>
      </c>
      <c r="AF24" s="668">
        <v>74.3</v>
      </c>
      <c r="AG24" s="668">
        <v>61</v>
      </c>
      <c r="AI24" t="s">
        <v>634</v>
      </c>
      <c r="AJ24" t="s">
        <v>574</v>
      </c>
      <c r="AK24" s="887">
        <v>31.300500000000003</v>
      </c>
      <c r="AL24" s="887">
        <v>73.111500000000007</v>
      </c>
      <c r="AM24" s="887">
        <v>25.063500000000001</v>
      </c>
      <c r="AN24" s="887">
        <v>36.613500000000009</v>
      </c>
      <c r="AO24" s="887">
        <v>71.14800000000001</v>
      </c>
      <c r="AP24" s="887">
        <v>85.816500000000005</v>
      </c>
      <c r="AQ24" s="887">
        <v>70.454999999999998</v>
      </c>
      <c r="AT24" t="s">
        <v>634</v>
      </c>
      <c r="AU24" t="s">
        <v>574</v>
      </c>
      <c r="AV24" s="804">
        <f t="shared" ref="AV24:AV31" si="16">AK24-AA24</f>
        <v>4.2005000000000017</v>
      </c>
      <c r="AW24" s="804">
        <f t="shared" ref="AW24:AW31" si="17">AL24-AB24</f>
        <v>9.8115000000000094</v>
      </c>
      <c r="AX24" s="804">
        <f t="shared" ref="AX24:AX31" si="18">AM24-AC24</f>
        <v>3.3635000000000019</v>
      </c>
      <c r="AY24" s="804">
        <f t="shared" ref="AY24:AY31" si="19">AN24-AD24</f>
        <v>4.9135000000000097</v>
      </c>
      <c r="AZ24" s="804">
        <f t="shared" ref="AZ24:AZ31" si="20">AO24-AE24</f>
        <v>9.5480000000000089</v>
      </c>
      <c r="BA24" s="804">
        <f t="shared" ref="BA24:BA31" si="21">AP24-AF24</f>
        <v>11.516500000000008</v>
      </c>
      <c r="BB24" s="804">
        <f t="shared" ref="BB24:BB31" si="22">AQ24-AG24</f>
        <v>9.4549999999999983</v>
      </c>
      <c r="BD24" s="5">
        <f t="shared" si="9"/>
        <v>0.15500000000000005</v>
      </c>
      <c r="BE24" s="5">
        <f t="shared" si="10"/>
        <v>0.15500000000000017</v>
      </c>
      <c r="BF24" s="5">
        <f t="shared" si="11"/>
        <v>0.15500000000000008</v>
      </c>
      <c r="BG24" s="5">
        <f t="shared" si="12"/>
        <v>0.1550000000000003</v>
      </c>
      <c r="BH24" s="5">
        <f t="shared" si="13"/>
        <v>0.15500000000000014</v>
      </c>
      <c r="BI24" s="5">
        <f t="shared" si="14"/>
        <v>0.15500000000000011</v>
      </c>
      <c r="BJ24" s="5">
        <f t="shared" si="15"/>
        <v>0.15499999999999997</v>
      </c>
    </row>
    <row r="25" spans="1:62" x14ac:dyDescent="0.25">
      <c r="A25" s="1332">
        <v>1</v>
      </c>
      <c r="B25" s="1333" t="s">
        <v>510</v>
      </c>
      <c r="C25" s="1347"/>
      <c r="D25" s="1347"/>
      <c r="E25" s="668">
        <v>34</v>
      </c>
      <c r="F25" s="668">
        <v>64.400000000000006</v>
      </c>
      <c r="G25" s="668"/>
      <c r="H25" s="668">
        <v>34.4</v>
      </c>
      <c r="I25" s="668">
        <v>67.5</v>
      </c>
      <c r="J25" s="668"/>
      <c r="K25" s="668">
        <v>32.5</v>
      </c>
      <c r="L25" s="668">
        <v>63.5</v>
      </c>
      <c r="M25" s="668"/>
      <c r="N25" s="668">
        <v>41.1</v>
      </c>
      <c r="O25" s="668">
        <v>55</v>
      </c>
      <c r="P25" s="668"/>
      <c r="Q25" s="668">
        <v>71.7</v>
      </c>
      <c r="R25" s="668">
        <v>88.2</v>
      </c>
      <c r="S25" s="668">
        <v>103.9</v>
      </c>
      <c r="T25" s="668"/>
      <c r="U25" s="668">
        <v>97.9</v>
      </c>
      <c r="V25" s="668">
        <v>105.4</v>
      </c>
      <c r="Y25" s="1332">
        <v>12</v>
      </c>
      <c r="Z25" s="1333" t="s">
        <v>522</v>
      </c>
      <c r="AA25" s="668">
        <v>27.4</v>
      </c>
      <c r="AB25" s="668">
        <v>47.5</v>
      </c>
      <c r="AC25" s="668">
        <v>29.6</v>
      </c>
      <c r="AD25" s="668">
        <v>28</v>
      </c>
      <c r="AE25" s="668">
        <v>60.8</v>
      </c>
      <c r="AF25" s="668">
        <v>64.900000000000006</v>
      </c>
      <c r="AG25" s="668">
        <v>58.9</v>
      </c>
      <c r="AI25" t="s">
        <v>635</v>
      </c>
      <c r="AJ25" t="s">
        <v>577</v>
      </c>
      <c r="AK25" s="887">
        <v>31.647000000000002</v>
      </c>
      <c r="AL25" s="887">
        <v>54.862500000000004</v>
      </c>
      <c r="AM25" s="887">
        <v>34.188000000000002</v>
      </c>
      <c r="AN25" s="887">
        <v>32.340000000000003</v>
      </c>
      <c r="AO25" s="887">
        <v>70.224000000000004</v>
      </c>
      <c r="AP25" s="887">
        <v>74.95950000000002</v>
      </c>
      <c r="AQ25" s="887">
        <v>68.029499999999999</v>
      </c>
      <c r="AT25" t="s">
        <v>635</v>
      </c>
      <c r="AU25" t="s">
        <v>577</v>
      </c>
      <c r="AV25" s="804">
        <f t="shared" si="16"/>
        <v>4.2470000000000034</v>
      </c>
      <c r="AW25" s="804">
        <f t="shared" si="17"/>
        <v>7.3625000000000043</v>
      </c>
      <c r="AX25" s="804">
        <f t="shared" si="18"/>
        <v>4.588000000000001</v>
      </c>
      <c r="AY25" s="804">
        <f t="shared" si="19"/>
        <v>4.3400000000000034</v>
      </c>
      <c r="AZ25" s="804">
        <f t="shared" si="20"/>
        <v>9.4240000000000066</v>
      </c>
      <c r="BA25" s="804">
        <f t="shared" si="21"/>
        <v>10.059500000000014</v>
      </c>
      <c r="BB25" s="804">
        <f t="shared" si="22"/>
        <v>9.1295000000000002</v>
      </c>
      <c r="BD25" s="5">
        <f t="shared" si="9"/>
        <v>0.15500000000000014</v>
      </c>
      <c r="BE25" s="5">
        <f t="shared" si="10"/>
        <v>0.15500000000000008</v>
      </c>
      <c r="BF25" s="5">
        <f t="shared" si="11"/>
        <v>0.15500000000000003</v>
      </c>
      <c r="BG25" s="5">
        <f t="shared" si="12"/>
        <v>0.15500000000000011</v>
      </c>
      <c r="BH25" s="5">
        <f t="shared" si="13"/>
        <v>0.15500000000000011</v>
      </c>
      <c r="BI25" s="5">
        <f t="shared" si="14"/>
        <v>0.15500000000000019</v>
      </c>
      <c r="BJ25" s="5">
        <f t="shared" si="15"/>
        <v>0.155</v>
      </c>
    </row>
    <row r="26" spans="1:62" x14ac:dyDescent="0.25">
      <c r="A26" s="1348"/>
      <c r="B26" s="1348"/>
      <c r="C26" s="1349"/>
      <c r="D26" s="1349"/>
      <c r="E26" s="673"/>
      <c r="F26" s="673"/>
      <c r="G26" s="673"/>
      <c r="H26" s="673"/>
      <c r="I26" s="673"/>
      <c r="J26" s="673"/>
      <c r="K26" s="673"/>
      <c r="L26" s="673"/>
      <c r="M26" s="673"/>
      <c r="N26" s="673"/>
      <c r="O26" s="673"/>
      <c r="P26" s="673"/>
      <c r="Q26" s="673"/>
      <c r="R26" s="673"/>
      <c r="S26" s="673"/>
      <c r="T26" s="673"/>
      <c r="U26" s="673"/>
      <c r="V26" s="673"/>
      <c r="Y26" s="1350"/>
      <c r="Z26" s="1348"/>
      <c r="AA26" s="1351"/>
      <c r="AB26" s="1351"/>
      <c r="AC26" s="1351"/>
      <c r="AD26" s="1351"/>
      <c r="AE26" s="1351"/>
      <c r="AF26" s="1351"/>
      <c r="AG26" s="1351"/>
      <c r="AK26" s="887"/>
      <c r="AL26" s="887"/>
      <c r="AM26" s="887"/>
      <c r="AN26" s="887"/>
      <c r="AO26" s="887"/>
      <c r="AP26" s="887"/>
      <c r="AQ26" s="887"/>
      <c r="AV26" s="804"/>
      <c r="AW26" s="804"/>
      <c r="AX26" s="804"/>
      <c r="AY26" s="804"/>
      <c r="AZ26" s="804"/>
      <c r="BA26" s="804"/>
      <c r="BB26" s="804"/>
      <c r="BD26" s="5"/>
      <c r="BE26" s="5"/>
      <c r="BF26" s="5"/>
      <c r="BG26" s="5"/>
      <c r="BH26" s="5"/>
      <c r="BI26" s="5"/>
      <c r="BJ26" s="5"/>
    </row>
    <row r="27" spans="1:62" x14ac:dyDescent="0.25">
      <c r="A27" s="1332">
        <v>2</v>
      </c>
      <c r="B27" s="1333" t="s">
        <v>511</v>
      </c>
      <c r="C27" s="1347"/>
      <c r="D27" s="1347"/>
      <c r="E27" s="668">
        <v>6.3</v>
      </c>
      <c r="F27" s="668">
        <v>11.8</v>
      </c>
      <c r="G27" s="668"/>
      <c r="H27" s="668">
        <v>6.3</v>
      </c>
      <c r="I27" s="668">
        <v>13.4</v>
      </c>
      <c r="J27" s="668"/>
      <c r="K27" s="668">
        <v>9.1999999999999993</v>
      </c>
      <c r="L27" s="668">
        <v>15.9</v>
      </c>
      <c r="M27" s="668"/>
      <c r="N27" s="668">
        <v>7.5</v>
      </c>
      <c r="O27" s="668">
        <v>6.6</v>
      </c>
      <c r="P27" s="668"/>
      <c r="Q27" s="668">
        <v>12.4</v>
      </c>
      <c r="R27" s="668">
        <v>11.6</v>
      </c>
      <c r="S27" s="668">
        <v>10.7</v>
      </c>
      <c r="T27" s="668"/>
      <c r="U27" s="668">
        <v>24.6</v>
      </c>
      <c r="V27" s="668">
        <v>17.3</v>
      </c>
      <c r="Y27" s="1352" t="s">
        <v>584</v>
      </c>
      <c r="Z27" s="1333" t="s">
        <v>585</v>
      </c>
      <c r="AA27" s="668">
        <v>299.39999999999998</v>
      </c>
      <c r="AB27" s="668">
        <v>574.4</v>
      </c>
      <c r="AC27" s="668">
        <v>342.9</v>
      </c>
      <c r="AD27" s="668">
        <v>371</v>
      </c>
      <c r="AE27" s="668">
        <v>605.70000000000005</v>
      </c>
      <c r="AF27" s="668">
        <v>682.7</v>
      </c>
      <c r="AG27" s="668">
        <v>658.8</v>
      </c>
      <c r="AI27" t="s">
        <v>584</v>
      </c>
      <c r="AJ27" t="s">
        <v>585</v>
      </c>
      <c r="AK27" s="887">
        <v>367.6155</v>
      </c>
      <c r="AL27" s="887">
        <v>689.38800000000003</v>
      </c>
      <c r="AM27" s="887">
        <v>415.23299999999995</v>
      </c>
      <c r="AN27" s="887">
        <v>453.39</v>
      </c>
      <c r="AO27" s="887">
        <v>724.93050000000017</v>
      </c>
      <c r="AP27" s="887">
        <v>803.56500000000017</v>
      </c>
      <c r="AQ27" s="887">
        <v>773.1255000000001</v>
      </c>
      <c r="AT27" t="s">
        <v>584</v>
      </c>
      <c r="AU27" t="s">
        <v>585</v>
      </c>
      <c r="AV27" s="804">
        <f t="shared" si="16"/>
        <v>68.21550000000002</v>
      </c>
      <c r="AW27" s="804">
        <f t="shared" si="17"/>
        <v>114.98800000000006</v>
      </c>
      <c r="AX27" s="804">
        <f t="shared" si="18"/>
        <v>72.33299999999997</v>
      </c>
      <c r="AY27" s="804">
        <f t="shared" si="19"/>
        <v>82.389999999999986</v>
      </c>
      <c r="AZ27" s="804">
        <f t="shared" si="20"/>
        <v>119.23050000000012</v>
      </c>
      <c r="BA27" s="804">
        <f t="shared" si="21"/>
        <v>120.86500000000012</v>
      </c>
      <c r="BB27" s="804">
        <f t="shared" si="22"/>
        <v>114.32550000000015</v>
      </c>
      <c r="BD27" s="5">
        <f t="shared" si="9"/>
        <v>0.22784068136272553</v>
      </c>
      <c r="BE27" s="5">
        <f t="shared" si="10"/>
        <v>0.20018802228412266</v>
      </c>
      <c r="BF27" s="5">
        <f t="shared" si="11"/>
        <v>0.21094488188976371</v>
      </c>
      <c r="BG27" s="5">
        <f t="shared" si="12"/>
        <v>0.22207547169811317</v>
      </c>
      <c r="BH27" s="5">
        <f t="shared" si="13"/>
        <v>0.19684744923229339</v>
      </c>
      <c r="BI27" s="5">
        <f t="shared" si="14"/>
        <v>0.17703969532737676</v>
      </c>
      <c r="BJ27" s="5">
        <f t="shared" si="15"/>
        <v>0.1735359744990895</v>
      </c>
    </row>
    <row r="28" spans="1:62" x14ac:dyDescent="0.25">
      <c r="A28" s="1348"/>
      <c r="B28" s="1348"/>
      <c r="C28" s="1349"/>
      <c r="D28" s="1349"/>
      <c r="E28" s="673"/>
      <c r="F28" s="673"/>
      <c r="G28" s="673"/>
      <c r="H28" s="673"/>
      <c r="I28" s="673"/>
      <c r="J28" s="673"/>
      <c r="K28" s="673"/>
      <c r="L28" s="673"/>
      <c r="M28" s="673"/>
      <c r="N28" s="673"/>
      <c r="O28" s="673"/>
      <c r="P28" s="673"/>
      <c r="Q28" s="673"/>
      <c r="R28" s="673"/>
      <c r="S28" s="673"/>
      <c r="T28" s="673"/>
      <c r="U28" s="673"/>
      <c r="V28" s="673"/>
      <c r="Y28" s="1348"/>
      <c r="Z28" s="1348"/>
      <c r="AA28" s="1351"/>
      <c r="AB28" s="1351"/>
      <c r="AC28" s="1351"/>
      <c r="AD28" s="1351"/>
      <c r="AE28" s="1351"/>
      <c r="AF28" s="1351"/>
      <c r="AG28" s="1351"/>
      <c r="AK28" s="887"/>
      <c r="AL28" s="887"/>
      <c r="AM28" s="887"/>
      <c r="AN28" s="887"/>
      <c r="AO28" s="887"/>
      <c r="AP28" s="887"/>
      <c r="AQ28" s="887"/>
      <c r="AV28" s="804"/>
      <c r="AW28" s="804"/>
      <c r="AX28" s="804"/>
      <c r="AY28" s="804"/>
      <c r="AZ28" s="804"/>
      <c r="BA28" s="804"/>
      <c r="BB28" s="804"/>
      <c r="BD28" s="5"/>
      <c r="BE28" s="5"/>
      <c r="BF28" s="5"/>
      <c r="BG28" s="5"/>
      <c r="BH28" s="5"/>
      <c r="BI28" s="5"/>
      <c r="BJ28" s="5"/>
    </row>
    <row r="29" spans="1:62" x14ac:dyDescent="0.25">
      <c r="A29" s="1332">
        <v>3</v>
      </c>
      <c r="B29" s="1337" t="s">
        <v>512</v>
      </c>
      <c r="C29" s="1347"/>
      <c r="D29" s="1347"/>
      <c r="E29" s="668">
        <v>7.9</v>
      </c>
      <c r="F29" s="668">
        <v>9.5</v>
      </c>
      <c r="G29" s="668"/>
      <c r="H29" s="668">
        <v>8</v>
      </c>
      <c r="I29" s="668">
        <v>19.100000000000001</v>
      </c>
      <c r="J29" s="668"/>
      <c r="K29" s="668">
        <v>11</v>
      </c>
      <c r="L29" s="668">
        <v>24</v>
      </c>
      <c r="M29" s="668"/>
      <c r="N29" s="668">
        <v>16.899999999999999</v>
      </c>
      <c r="O29" s="668">
        <v>23.8</v>
      </c>
      <c r="P29" s="668"/>
      <c r="Q29" s="668">
        <v>31.4</v>
      </c>
      <c r="R29" s="668">
        <v>33.5</v>
      </c>
      <c r="S29" s="668">
        <v>31.1</v>
      </c>
      <c r="T29" s="668"/>
      <c r="U29" s="668">
        <v>40.1</v>
      </c>
      <c r="V29" s="668">
        <v>55.3</v>
      </c>
      <c r="Y29" s="1332">
        <v>13</v>
      </c>
      <c r="Z29" s="1333" t="s">
        <v>580</v>
      </c>
      <c r="AA29" s="668">
        <v>57.2</v>
      </c>
      <c r="AB29" s="668">
        <v>90.1</v>
      </c>
      <c r="AC29" s="668">
        <v>39.799999999999997</v>
      </c>
      <c r="AD29" s="668">
        <v>37.1</v>
      </c>
      <c r="AE29" s="668">
        <v>102.6</v>
      </c>
      <c r="AF29" s="668">
        <v>118.5</v>
      </c>
      <c r="AG29" s="668">
        <v>113.9</v>
      </c>
      <c r="AI29" t="s">
        <v>636</v>
      </c>
      <c r="AJ29" t="s">
        <v>580</v>
      </c>
      <c r="AK29" s="887">
        <v>66.066000000000003</v>
      </c>
      <c r="AL29" s="887">
        <v>104.06550000000001</v>
      </c>
      <c r="AM29" s="887">
        <v>45.969000000000001</v>
      </c>
      <c r="AN29" s="887">
        <v>42.850500000000011</v>
      </c>
      <c r="AO29" s="887">
        <v>118.50300000000001</v>
      </c>
      <c r="AP29" s="887">
        <v>136.86750000000004</v>
      </c>
      <c r="AQ29" s="887">
        <v>131.55450000000002</v>
      </c>
      <c r="AT29" t="s">
        <v>636</v>
      </c>
      <c r="AU29" t="s">
        <v>580</v>
      </c>
      <c r="AV29" s="804">
        <f t="shared" si="16"/>
        <v>8.8659999999999997</v>
      </c>
      <c r="AW29" s="804">
        <f t="shared" si="17"/>
        <v>13.96550000000002</v>
      </c>
      <c r="AX29" s="804">
        <f t="shared" si="18"/>
        <v>6.169000000000004</v>
      </c>
      <c r="AY29" s="804">
        <f t="shared" si="19"/>
        <v>5.7505000000000095</v>
      </c>
      <c r="AZ29" s="804">
        <f t="shared" si="20"/>
        <v>15.90300000000002</v>
      </c>
      <c r="BA29" s="804">
        <f t="shared" si="21"/>
        <v>18.367500000000035</v>
      </c>
      <c r="BB29" s="804">
        <f t="shared" si="22"/>
        <v>17.654500000000013</v>
      </c>
      <c r="BD29" s="5">
        <f t="shared" si="9"/>
        <v>0.155</v>
      </c>
      <c r="BE29" s="5">
        <f t="shared" si="10"/>
        <v>0.15500000000000022</v>
      </c>
      <c r="BF29" s="5">
        <f t="shared" si="11"/>
        <v>0.15500000000000011</v>
      </c>
      <c r="BG29" s="5">
        <f t="shared" si="12"/>
        <v>0.15500000000000025</v>
      </c>
      <c r="BH29" s="5">
        <f t="shared" si="13"/>
        <v>0.15500000000000019</v>
      </c>
      <c r="BI29" s="5">
        <f t="shared" si="14"/>
        <v>0.1550000000000003</v>
      </c>
      <c r="BJ29" s="5">
        <f t="shared" si="15"/>
        <v>0.15500000000000011</v>
      </c>
    </row>
    <row r="30" spans="1:62" x14ac:dyDescent="0.25">
      <c r="A30" s="1348"/>
      <c r="B30" s="1348"/>
      <c r="C30" s="1349"/>
      <c r="D30" s="1349"/>
      <c r="E30" s="673"/>
      <c r="F30" s="673"/>
      <c r="G30" s="673"/>
      <c r="H30" s="673"/>
      <c r="I30" s="673"/>
      <c r="J30" s="673"/>
      <c r="K30" s="673"/>
      <c r="L30" s="673"/>
      <c r="M30" s="673"/>
      <c r="N30" s="673"/>
      <c r="O30" s="673"/>
      <c r="P30" s="673"/>
      <c r="Q30" s="673"/>
      <c r="R30" s="673"/>
      <c r="S30" s="673"/>
      <c r="T30" s="673"/>
      <c r="U30" s="673"/>
      <c r="V30" s="673"/>
      <c r="Y30" s="1353"/>
      <c r="Z30" s="1353"/>
      <c r="AA30" s="1354"/>
      <c r="AB30" s="1354"/>
      <c r="AC30" s="1354"/>
      <c r="AD30" s="1354"/>
      <c r="AE30" s="1354"/>
      <c r="AF30" s="1354"/>
      <c r="AG30" s="1354"/>
      <c r="AK30" s="887"/>
      <c r="AL30" s="887"/>
      <c r="AM30" s="887"/>
      <c r="AN30" s="887"/>
      <c r="AO30" s="887"/>
      <c r="AP30" s="887"/>
      <c r="AQ30" s="887"/>
      <c r="AV30" s="804"/>
      <c r="AW30" s="804"/>
      <c r="AX30" s="804"/>
      <c r="AY30" s="804"/>
      <c r="AZ30" s="804"/>
      <c r="BA30" s="804"/>
      <c r="BB30" s="804"/>
      <c r="BD30" s="5"/>
      <c r="BE30" s="5"/>
      <c r="BF30" s="5"/>
      <c r="BG30" s="5"/>
      <c r="BH30" s="5"/>
      <c r="BI30" s="5"/>
      <c r="BJ30" s="5"/>
    </row>
    <row r="31" spans="1:62" x14ac:dyDescent="0.25">
      <c r="A31" s="1332">
        <v>4</v>
      </c>
      <c r="B31" s="1333" t="s">
        <v>513</v>
      </c>
      <c r="C31" s="1347"/>
      <c r="D31" s="1347"/>
      <c r="E31" s="668">
        <v>46.3</v>
      </c>
      <c r="F31" s="668">
        <v>46.9</v>
      </c>
      <c r="G31" s="668"/>
      <c r="H31" s="668">
        <v>46.4</v>
      </c>
      <c r="I31" s="668">
        <v>53</v>
      </c>
      <c r="J31" s="668"/>
      <c r="K31" s="668">
        <v>74</v>
      </c>
      <c r="L31" s="668">
        <v>92.3</v>
      </c>
      <c r="M31" s="668"/>
      <c r="N31" s="668">
        <v>99.4</v>
      </c>
      <c r="O31" s="668">
        <v>94.4</v>
      </c>
      <c r="P31" s="668"/>
      <c r="Q31" s="668">
        <v>99.9</v>
      </c>
      <c r="R31" s="668">
        <v>98</v>
      </c>
      <c r="S31" s="668">
        <v>102.2</v>
      </c>
      <c r="T31" s="668"/>
      <c r="U31" s="668">
        <v>119</v>
      </c>
      <c r="V31" s="668">
        <v>92.3</v>
      </c>
      <c r="Y31" s="1355" t="s">
        <v>526</v>
      </c>
      <c r="Z31" s="1356"/>
      <c r="AA31" s="687">
        <v>356.6</v>
      </c>
      <c r="AB31" s="687">
        <v>664.5</v>
      </c>
      <c r="AC31" s="687">
        <v>382.8</v>
      </c>
      <c r="AD31" s="687">
        <v>408.1</v>
      </c>
      <c r="AE31" s="687">
        <v>708.3</v>
      </c>
      <c r="AF31" s="687">
        <v>801.2</v>
      </c>
      <c r="AG31" s="687">
        <v>772.7</v>
      </c>
      <c r="AI31" t="s">
        <v>526</v>
      </c>
      <c r="AK31" s="887">
        <v>433.68150000000003</v>
      </c>
      <c r="AL31" s="887">
        <v>793.45350000000008</v>
      </c>
      <c r="AM31" s="887">
        <v>461.20199999999994</v>
      </c>
      <c r="AN31" s="887">
        <v>496.2405</v>
      </c>
      <c r="AO31" s="887">
        <v>843.43350000000021</v>
      </c>
      <c r="AP31" s="887">
        <v>940.43250000000023</v>
      </c>
      <c r="AQ31" s="887">
        <v>904.68000000000006</v>
      </c>
      <c r="AT31" t="s">
        <v>526</v>
      </c>
      <c r="AV31" s="804">
        <f t="shared" si="16"/>
        <v>77.081500000000005</v>
      </c>
      <c r="AW31" s="804">
        <f t="shared" si="17"/>
        <v>128.95350000000008</v>
      </c>
      <c r="AX31" s="804">
        <f t="shared" si="18"/>
        <v>78.40199999999993</v>
      </c>
      <c r="AY31" s="804">
        <f t="shared" si="19"/>
        <v>88.140499999999975</v>
      </c>
      <c r="AZ31" s="804">
        <f t="shared" si="20"/>
        <v>135.13350000000025</v>
      </c>
      <c r="BA31" s="804">
        <f t="shared" si="21"/>
        <v>139.23250000000019</v>
      </c>
      <c r="BB31" s="804">
        <f t="shared" si="22"/>
        <v>131.98000000000002</v>
      </c>
      <c r="BD31" s="5">
        <f t="shared" si="9"/>
        <v>0.2161567582725743</v>
      </c>
      <c r="BE31" s="5">
        <f t="shared" si="10"/>
        <v>0.19406094808126423</v>
      </c>
      <c r="BF31" s="5">
        <f t="shared" si="11"/>
        <v>0.20481191222570513</v>
      </c>
      <c r="BG31" s="5">
        <f t="shared" si="12"/>
        <v>0.21597770154373921</v>
      </c>
      <c r="BH31" s="5">
        <f t="shared" si="13"/>
        <v>0.19078568403219012</v>
      </c>
      <c r="BI31" s="5">
        <f t="shared" si="14"/>
        <v>0.17377995506739913</v>
      </c>
      <c r="BJ31" s="5">
        <f t="shared" si="15"/>
        <v>0.17080367542383851</v>
      </c>
    </row>
    <row r="32" spans="1:62" x14ac:dyDescent="0.25">
      <c r="A32" s="1348"/>
      <c r="B32" s="1348"/>
      <c r="C32" s="1349"/>
      <c r="D32" s="1349"/>
      <c r="E32" s="673"/>
      <c r="F32" s="673"/>
      <c r="G32" s="673"/>
      <c r="H32" s="673"/>
      <c r="I32" s="673"/>
      <c r="J32" s="673"/>
      <c r="K32" s="673"/>
      <c r="L32" s="673"/>
      <c r="M32" s="673"/>
      <c r="N32" s="673"/>
      <c r="O32" s="673"/>
      <c r="P32" s="673"/>
      <c r="Q32" s="673"/>
      <c r="R32" s="673"/>
      <c r="S32" s="673"/>
      <c r="T32" s="673"/>
      <c r="U32" s="673"/>
      <c r="V32" s="673"/>
      <c r="AA32" s="692"/>
      <c r="AB32" s="692"/>
      <c r="AC32" s="692"/>
      <c r="AD32" s="692"/>
      <c r="AE32" s="692"/>
      <c r="AF32" s="692"/>
      <c r="AG32" s="692"/>
    </row>
    <row r="33" spans="1:22" x14ac:dyDescent="0.25">
      <c r="A33" s="1332">
        <v>5</v>
      </c>
      <c r="B33" s="1333" t="s">
        <v>514</v>
      </c>
      <c r="C33" s="1347"/>
      <c r="D33" s="1347"/>
      <c r="E33" s="668">
        <v>13.7</v>
      </c>
      <c r="F33" s="668">
        <v>33.200000000000003</v>
      </c>
      <c r="G33" s="668"/>
      <c r="H33" s="668">
        <v>16.899999999999999</v>
      </c>
      <c r="I33" s="668">
        <v>39.700000000000003</v>
      </c>
      <c r="J33" s="668"/>
      <c r="K33" s="668">
        <v>19.100000000000001</v>
      </c>
      <c r="L33" s="668">
        <v>42.5</v>
      </c>
      <c r="M33" s="668"/>
      <c r="N33" s="668">
        <v>21.9</v>
      </c>
      <c r="O33" s="668">
        <v>21.2</v>
      </c>
      <c r="P33" s="668"/>
      <c r="Q33" s="668">
        <v>50.7</v>
      </c>
      <c r="R33" s="668">
        <v>46.7</v>
      </c>
      <c r="S33" s="668">
        <v>49.7</v>
      </c>
      <c r="T33" s="668"/>
      <c r="U33" s="668">
        <v>51.7</v>
      </c>
      <c r="V33" s="668">
        <v>48.7</v>
      </c>
    </row>
    <row r="34" spans="1:22" x14ac:dyDescent="0.25">
      <c r="A34" s="1348"/>
      <c r="B34" s="1348"/>
      <c r="C34" s="1349"/>
      <c r="D34" s="1349"/>
      <c r="E34" s="673"/>
      <c r="F34" s="673"/>
      <c r="G34" s="673"/>
      <c r="H34" s="673"/>
      <c r="I34" s="673"/>
      <c r="J34" s="673"/>
      <c r="K34" s="673"/>
      <c r="L34" s="673"/>
      <c r="M34" s="673"/>
      <c r="N34" s="673"/>
      <c r="O34" s="673"/>
      <c r="P34" s="673"/>
      <c r="Q34" s="673"/>
      <c r="R34" s="673"/>
      <c r="S34" s="673"/>
      <c r="T34" s="673"/>
      <c r="U34" s="673"/>
      <c r="V34" s="673"/>
    </row>
    <row r="35" spans="1:22" x14ac:dyDescent="0.25">
      <c r="A35" s="1332">
        <v>6</v>
      </c>
      <c r="B35" s="1333" t="s">
        <v>515</v>
      </c>
      <c r="C35" s="1347"/>
      <c r="D35" s="1347"/>
      <c r="E35" s="668">
        <v>3.1</v>
      </c>
      <c r="F35" s="668">
        <v>7.5</v>
      </c>
      <c r="G35" s="668"/>
      <c r="H35" s="668">
        <v>9.3000000000000007</v>
      </c>
      <c r="I35" s="668">
        <v>12.2</v>
      </c>
      <c r="J35" s="668"/>
      <c r="K35" s="668">
        <v>5.3</v>
      </c>
      <c r="L35" s="668">
        <v>10.5</v>
      </c>
      <c r="M35" s="668"/>
      <c r="N35" s="668">
        <v>2.5</v>
      </c>
      <c r="O35" s="668">
        <v>3.1</v>
      </c>
      <c r="P35" s="668"/>
      <c r="Q35" s="668">
        <v>5.3</v>
      </c>
      <c r="R35" s="668">
        <v>7.1</v>
      </c>
      <c r="S35" s="668">
        <v>7.2</v>
      </c>
      <c r="T35" s="668"/>
      <c r="U35" s="668">
        <v>11</v>
      </c>
      <c r="V35" s="668">
        <v>6.2</v>
      </c>
    </row>
    <row r="36" spans="1:22" x14ac:dyDescent="0.25">
      <c r="A36" s="1348"/>
      <c r="B36" s="1348"/>
      <c r="C36" s="1349"/>
      <c r="D36" s="1349"/>
      <c r="E36" s="673"/>
      <c r="F36" s="673"/>
      <c r="G36" s="673"/>
      <c r="H36" s="673"/>
      <c r="I36" s="673"/>
      <c r="J36" s="673"/>
      <c r="K36" s="673"/>
      <c r="L36" s="673"/>
      <c r="M36" s="673"/>
      <c r="N36" s="673"/>
      <c r="O36" s="673"/>
      <c r="P36" s="673"/>
      <c r="Q36" s="673"/>
      <c r="R36" s="673"/>
      <c r="S36" s="673"/>
      <c r="T36" s="673"/>
      <c r="U36" s="673"/>
      <c r="V36" s="673"/>
    </row>
    <row r="37" spans="1:22" x14ac:dyDescent="0.25">
      <c r="A37" s="1332">
        <v>7</v>
      </c>
      <c r="B37" s="1333" t="s">
        <v>516</v>
      </c>
      <c r="C37" s="1347"/>
      <c r="D37" s="1347"/>
      <c r="E37" s="668">
        <v>17.7</v>
      </c>
      <c r="F37" s="668">
        <v>41.7</v>
      </c>
      <c r="G37" s="668"/>
      <c r="H37" s="668">
        <v>25</v>
      </c>
      <c r="I37" s="668">
        <v>63.2</v>
      </c>
      <c r="J37" s="668"/>
      <c r="K37" s="668">
        <v>45.2</v>
      </c>
      <c r="L37" s="668">
        <v>101</v>
      </c>
      <c r="M37" s="668"/>
      <c r="N37" s="668">
        <v>38.6</v>
      </c>
      <c r="O37" s="668">
        <v>43.1</v>
      </c>
      <c r="P37" s="668"/>
      <c r="Q37" s="668">
        <v>100.6</v>
      </c>
      <c r="R37" s="668">
        <v>115.8</v>
      </c>
      <c r="S37" s="668">
        <v>106.6</v>
      </c>
      <c r="T37" s="668"/>
      <c r="U37" s="668">
        <v>137.19999999999999</v>
      </c>
      <c r="V37" s="668">
        <v>146.4</v>
      </c>
    </row>
    <row r="38" spans="1:22" x14ac:dyDescent="0.25">
      <c r="A38" s="1348"/>
      <c r="B38" s="1348"/>
      <c r="C38" s="1349"/>
      <c r="D38" s="1349"/>
      <c r="E38" s="673"/>
      <c r="F38" s="673"/>
      <c r="G38" s="673"/>
      <c r="H38" s="673"/>
      <c r="I38" s="673"/>
      <c r="J38" s="673"/>
      <c r="K38" s="673"/>
      <c r="L38" s="673"/>
      <c r="M38" s="673"/>
      <c r="N38" s="673"/>
      <c r="O38" s="673"/>
      <c r="P38" s="673"/>
      <c r="Q38" s="673"/>
      <c r="R38" s="673"/>
      <c r="S38" s="673"/>
      <c r="T38" s="673"/>
      <c r="U38" s="673"/>
      <c r="V38" s="673"/>
    </row>
    <row r="39" spans="1:22" x14ac:dyDescent="0.25">
      <c r="A39" s="1332">
        <v>8</v>
      </c>
      <c r="B39" s="1333" t="s">
        <v>517</v>
      </c>
      <c r="C39" s="1347"/>
      <c r="D39" s="1347"/>
      <c r="E39" s="668">
        <v>10.9</v>
      </c>
      <c r="F39" s="668">
        <v>16.8</v>
      </c>
      <c r="G39" s="668"/>
      <c r="H39" s="668">
        <v>12.5</v>
      </c>
      <c r="I39" s="668">
        <v>18.7</v>
      </c>
      <c r="J39" s="668"/>
      <c r="K39" s="668">
        <v>13.6</v>
      </c>
      <c r="L39" s="668">
        <v>23.8</v>
      </c>
      <c r="M39" s="668"/>
      <c r="N39" s="668">
        <v>15.5</v>
      </c>
      <c r="O39" s="668">
        <v>17.8</v>
      </c>
      <c r="P39" s="668"/>
      <c r="Q39" s="668">
        <v>25.6</v>
      </c>
      <c r="R39" s="668">
        <v>25.7</v>
      </c>
      <c r="S39" s="668">
        <v>27</v>
      </c>
      <c r="T39" s="668"/>
      <c r="U39" s="668">
        <v>31.1</v>
      </c>
      <c r="V39" s="668">
        <v>36.4</v>
      </c>
    </row>
    <row r="40" spans="1:22" x14ac:dyDescent="0.25">
      <c r="A40" s="1348"/>
      <c r="B40" s="1348"/>
      <c r="C40" s="1349"/>
      <c r="D40" s="1349"/>
      <c r="E40" s="673"/>
      <c r="F40" s="673"/>
      <c r="G40" s="673"/>
      <c r="H40" s="673"/>
      <c r="I40" s="673"/>
      <c r="J40" s="673"/>
      <c r="K40" s="673"/>
      <c r="L40" s="673"/>
      <c r="M40" s="673"/>
      <c r="N40" s="673"/>
      <c r="O40" s="673"/>
      <c r="P40" s="673"/>
      <c r="Q40" s="673"/>
      <c r="R40" s="673"/>
      <c r="S40" s="673"/>
      <c r="T40" s="673"/>
      <c r="U40" s="673"/>
      <c r="V40" s="673"/>
    </row>
    <row r="41" spans="1:22" x14ac:dyDescent="0.25">
      <c r="A41" s="1332">
        <v>9</v>
      </c>
      <c r="B41" s="1333" t="s">
        <v>518</v>
      </c>
      <c r="C41" s="1347"/>
      <c r="D41" s="1347"/>
      <c r="E41" s="668">
        <v>31.3</v>
      </c>
      <c r="F41" s="668">
        <v>58.3</v>
      </c>
      <c r="G41" s="668"/>
      <c r="H41" s="668">
        <v>42.5</v>
      </c>
      <c r="I41" s="668">
        <v>99.7</v>
      </c>
      <c r="J41" s="668"/>
      <c r="K41" s="668">
        <v>33.700000000000003</v>
      </c>
      <c r="L41" s="668">
        <v>87.4</v>
      </c>
      <c r="M41" s="668"/>
      <c r="N41" s="668">
        <v>37.700000000000003</v>
      </c>
      <c r="O41" s="668">
        <v>42.1</v>
      </c>
      <c r="P41" s="668"/>
      <c r="Q41" s="668">
        <v>80.400000000000006</v>
      </c>
      <c r="R41" s="668">
        <v>103.2</v>
      </c>
      <c r="S41" s="668">
        <v>83.2</v>
      </c>
      <c r="T41" s="668"/>
      <c r="U41" s="668">
        <v>108.9</v>
      </c>
      <c r="V41" s="668">
        <v>97.5</v>
      </c>
    </row>
    <row r="42" spans="1:22" x14ac:dyDescent="0.25">
      <c r="A42" s="1348"/>
      <c r="B42" s="1348"/>
      <c r="C42" s="1349"/>
      <c r="D42" s="1349"/>
      <c r="E42" s="673"/>
      <c r="F42" s="673"/>
      <c r="G42" s="673"/>
      <c r="H42" s="673"/>
      <c r="I42" s="673"/>
      <c r="J42" s="673"/>
      <c r="K42" s="673"/>
      <c r="L42" s="673"/>
      <c r="M42" s="673"/>
      <c r="N42" s="673"/>
      <c r="O42" s="673"/>
      <c r="P42" s="673"/>
      <c r="Q42" s="673"/>
      <c r="R42" s="673"/>
      <c r="S42" s="673"/>
      <c r="T42" s="673"/>
      <c r="U42" s="673"/>
      <c r="V42" s="673"/>
    </row>
    <row r="43" spans="1:22" x14ac:dyDescent="0.25">
      <c r="A43" s="1332">
        <v>10</v>
      </c>
      <c r="B43" s="1333" t="s">
        <v>519</v>
      </c>
      <c r="C43" s="1347"/>
      <c r="D43" s="1347"/>
      <c r="E43" s="668" t="s">
        <v>610</v>
      </c>
      <c r="F43" s="668" t="s">
        <v>637</v>
      </c>
      <c r="G43" s="668"/>
      <c r="H43" s="668" t="s">
        <v>610</v>
      </c>
      <c r="I43" s="668" t="s">
        <v>610</v>
      </c>
      <c r="J43" s="668"/>
      <c r="K43" s="668" t="s">
        <v>638</v>
      </c>
      <c r="L43" s="668">
        <v>2.7</v>
      </c>
      <c r="M43" s="668"/>
      <c r="N43" s="668" t="s">
        <v>639</v>
      </c>
      <c r="O43" s="668" t="s">
        <v>640</v>
      </c>
      <c r="P43" s="668"/>
      <c r="Q43" s="668">
        <v>5.3</v>
      </c>
      <c r="R43" s="668">
        <v>13.6</v>
      </c>
      <c r="S43" s="668">
        <v>17.3</v>
      </c>
      <c r="T43" s="668"/>
      <c r="U43" s="668">
        <v>6.7</v>
      </c>
      <c r="V43" s="668">
        <v>11.1</v>
      </c>
    </row>
    <row r="44" spans="1:22" x14ac:dyDescent="0.25">
      <c r="A44" s="1348"/>
      <c r="B44" s="1348"/>
      <c r="C44" s="1349"/>
      <c r="D44" s="1349"/>
      <c r="E44" s="673"/>
      <c r="F44" s="673"/>
      <c r="G44" s="673"/>
      <c r="H44" s="673"/>
      <c r="I44" s="673"/>
      <c r="J44" s="673"/>
      <c r="K44" s="673"/>
      <c r="L44" s="673"/>
      <c r="M44" s="673"/>
      <c r="N44" s="673"/>
      <c r="O44" s="673"/>
      <c r="P44" s="673"/>
      <c r="Q44" s="673"/>
      <c r="R44" s="673"/>
      <c r="S44" s="673"/>
      <c r="T44" s="673"/>
      <c r="U44" s="673"/>
      <c r="V44" s="673"/>
    </row>
    <row r="45" spans="1:22" x14ac:dyDescent="0.25">
      <c r="A45" s="1332">
        <v>11</v>
      </c>
      <c r="B45" s="1333" t="s">
        <v>521</v>
      </c>
      <c r="C45" s="1347"/>
      <c r="D45" s="1347"/>
      <c r="E45" s="668">
        <v>11.7</v>
      </c>
      <c r="F45" s="668">
        <v>29.1</v>
      </c>
      <c r="G45" s="668"/>
      <c r="H45" s="668">
        <v>18.100000000000001</v>
      </c>
      <c r="I45" s="668">
        <v>50.4</v>
      </c>
      <c r="J45" s="668"/>
      <c r="K45" s="668">
        <v>27.1</v>
      </c>
      <c r="L45" s="668">
        <v>63.3</v>
      </c>
      <c r="M45" s="668"/>
      <c r="N45" s="668">
        <v>21.7</v>
      </c>
      <c r="O45" s="668">
        <v>31.7</v>
      </c>
      <c r="P45" s="668"/>
      <c r="Q45" s="668">
        <v>61.6</v>
      </c>
      <c r="R45" s="668">
        <v>74.3</v>
      </c>
      <c r="S45" s="668">
        <v>61</v>
      </c>
      <c r="T45" s="668"/>
      <c r="U45" s="668">
        <v>93.9</v>
      </c>
      <c r="V45" s="668">
        <v>90.2</v>
      </c>
    </row>
    <row r="46" spans="1:22" x14ac:dyDescent="0.25">
      <c r="A46" s="1348"/>
      <c r="B46" s="1348"/>
      <c r="C46" s="1349"/>
      <c r="D46" s="1349"/>
      <c r="E46" s="673"/>
      <c r="F46" s="673"/>
      <c r="G46" s="673"/>
      <c r="H46" s="673"/>
      <c r="I46" s="673"/>
      <c r="J46" s="673"/>
      <c r="K46" s="673"/>
      <c r="L46" s="673"/>
      <c r="M46" s="673"/>
      <c r="N46" s="673"/>
      <c r="O46" s="673"/>
      <c r="P46" s="673"/>
      <c r="Q46" s="673"/>
      <c r="R46" s="673"/>
      <c r="S46" s="673"/>
      <c r="T46" s="673"/>
      <c r="U46" s="673"/>
      <c r="V46" s="673"/>
    </row>
    <row r="47" spans="1:22" x14ac:dyDescent="0.25">
      <c r="A47" s="1332">
        <v>12</v>
      </c>
      <c r="B47" s="1333" t="s">
        <v>522</v>
      </c>
      <c r="C47" s="1347"/>
      <c r="D47" s="1347"/>
      <c r="E47" s="668">
        <v>42.8</v>
      </c>
      <c r="F47" s="668">
        <v>25.9</v>
      </c>
      <c r="G47" s="668"/>
      <c r="H47" s="668">
        <v>22.3</v>
      </c>
      <c r="I47" s="668">
        <v>45.5</v>
      </c>
      <c r="J47" s="668"/>
      <c r="K47" s="668">
        <v>27.4</v>
      </c>
      <c r="L47" s="668">
        <v>47.5</v>
      </c>
      <c r="M47" s="668"/>
      <c r="N47" s="668">
        <v>29.6</v>
      </c>
      <c r="O47" s="668">
        <v>28</v>
      </c>
      <c r="P47" s="668"/>
      <c r="Q47" s="668">
        <v>60.8</v>
      </c>
      <c r="R47" s="668">
        <v>64.900000000000006</v>
      </c>
      <c r="S47" s="668">
        <v>58.9</v>
      </c>
      <c r="T47" s="668"/>
      <c r="U47" s="668">
        <v>62.4</v>
      </c>
      <c r="V47" s="668">
        <v>71.2</v>
      </c>
    </row>
    <row r="48" spans="1:22" x14ac:dyDescent="0.25">
      <c r="A48" s="1350"/>
      <c r="B48" s="1348"/>
      <c r="C48" s="1349"/>
      <c r="D48" s="1349"/>
      <c r="E48" s="1351"/>
      <c r="F48" s="1351"/>
      <c r="G48" s="1351"/>
      <c r="H48" s="1351"/>
      <c r="I48" s="1351"/>
      <c r="J48" s="1351"/>
      <c r="K48" s="1351"/>
      <c r="L48" s="1351"/>
      <c r="M48" s="1351"/>
      <c r="N48" s="1351"/>
      <c r="O48" s="1351"/>
      <c r="P48" s="1351"/>
      <c r="Q48" s="1351"/>
      <c r="R48" s="1351"/>
      <c r="S48" s="1351"/>
      <c r="T48" s="1351"/>
      <c r="U48" s="1351"/>
      <c r="V48" s="1351"/>
    </row>
    <row r="49" spans="1:22" x14ac:dyDescent="0.25">
      <c r="A49" s="1348"/>
      <c r="B49" s="1348"/>
      <c r="C49" s="1349"/>
      <c r="D49" s="1349"/>
      <c r="E49" s="673"/>
      <c r="F49" s="673"/>
      <c r="G49" s="673"/>
      <c r="H49" s="673"/>
      <c r="I49" s="673"/>
      <c r="J49" s="673"/>
      <c r="K49" s="673"/>
      <c r="L49" s="673"/>
      <c r="M49" s="673"/>
      <c r="N49" s="673"/>
      <c r="O49" s="673"/>
      <c r="P49" s="673"/>
      <c r="Q49" s="673"/>
      <c r="R49" s="673"/>
      <c r="S49" s="673"/>
      <c r="T49" s="673"/>
      <c r="U49" s="673"/>
      <c r="V49" s="673"/>
    </row>
    <row r="50" spans="1:22" x14ac:dyDescent="0.25">
      <c r="A50" s="1352" t="s">
        <v>584</v>
      </c>
      <c r="B50" s="1333" t="s">
        <v>585</v>
      </c>
      <c r="C50" s="1347"/>
      <c r="D50" s="1347"/>
      <c r="E50" s="668">
        <v>225.7</v>
      </c>
      <c r="F50" s="668">
        <v>345.1</v>
      </c>
      <c r="G50" s="668"/>
      <c r="H50" s="668">
        <v>241.7</v>
      </c>
      <c r="I50" s="668">
        <v>483.4</v>
      </c>
      <c r="J50" s="668"/>
      <c r="K50" s="668">
        <v>299.39999999999998</v>
      </c>
      <c r="L50" s="668">
        <v>574.4</v>
      </c>
      <c r="M50" s="668"/>
      <c r="N50" s="668">
        <v>342.9</v>
      </c>
      <c r="O50" s="668">
        <v>371</v>
      </c>
      <c r="P50" s="668"/>
      <c r="Q50" s="668">
        <v>605.70000000000005</v>
      </c>
      <c r="R50" s="668">
        <v>682.7</v>
      </c>
      <c r="S50" s="668">
        <v>658.8</v>
      </c>
      <c r="T50" s="668"/>
      <c r="U50" s="668">
        <v>784.4</v>
      </c>
      <c r="V50" s="668">
        <v>778</v>
      </c>
    </row>
    <row r="51" spans="1:22" x14ac:dyDescent="0.25">
      <c r="A51" s="1348"/>
      <c r="B51" s="1348"/>
      <c r="C51" s="1349"/>
      <c r="D51" s="1349"/>
      <c r="E51" s="1351"/>
      <c r="F51" s="1351"/>
      <c r="G51" s="1351"/>
      <c r="H51" s="1351"/>
      <c r="I51" s="1351"/>
      <c r="J51" s="1351"/>
      <c r="K51" s="1351"/>
      <c r="L51" s="1351"/>
      <c r="M51" s="1351"/>
      <c r="N51" s="1351"/>
      <c r="O51" s="1351"/>
      <c r="P51" s="1351"/>
      <c r="Q51" s="1351"/>
      <c r="R51" s="1351"/>
      <c r="S51" s="1351"/>
      <c r="T51" s="1351"/>
      <c r="U51" s="1351"/>
      <c r="V51" s="1351"/>
    </row>
    <row r="52" spans="1:22" x14ac:dyDescent="0.25">
      <c r="A52" s="1348"/>
      <c r="B52" s="1348"/>
      <c r="C52" s="1349"/>
      <c r="D52" s="1349"/>
      <c r="E52" s="673"/>
      <c r="F52" s="673"/>
      <c r="G52" s="673"/>
      <c r="H52" s="673"/>
      <c r="I52" s="673"/>
      <c r="J52" s="673"/>
      <c r="K52" s="673"/>
      <c r="L52" s="673"/>
      <c r="M52" s="673"/>
      <c r="N52" s="673"/>
      <c r="O52" s="673"/>
      <c r="P52" s="673"/>
      <c r="Q52" s="673"/>
      <c r="R52" s="673"/>
      <c r="S52" s="673"/>
      <c r="T52" s="673"/>
      <c r="U52" s="673"/>
      <c r="V52" s="673"/>
    </row>
    <row r="53" spans="1:22" x14ac:dyDescent="0.25">
      <c r="A53" s="1332">
        <v>13</v>
      </c>
      <c r="B53" s="1333" t="s">
        <v>580</v>
      </c>
      <c r="C53" s="1357"/>
      <c r="D53" s="1347"/>
      <c r="E53" s="668">
        <v>31.3</v>
      </c>
      <c r="F53" s="668">
        <v>40.1</v>
      </c>
      <c r="G53" s="668"/>
      <c r="H53" s="668">
        <v>33</v>
      </c>
      <c r="I53" s="668">
        <v>67.8</v>
      </c>
      <c r="J53" s="668"/>
      <c r="K53" s="668">
        <v>57.2</v>
      </c>
      <c r="L53" s="668">
        <v>90.1</v>
      </c>
      <c r="M53" s="668"/>
      <c r="N53" s="668">
        <v>39.799999999999997</v>
      </c>
      <c r="O53" s="668">
        <v>37.1</v>
      </c>
      <c r="P53" s="668"/>
      <c r="Q53" s="668">
        <v>102.6</v>
      </c>
      <c r="R53" s="668">
        <v>118.5</v>
      </c>
      <c r="S53" s="668">
        <v>113.9</v>
      </c>
      <c r="T53" s="668"/>
      <c r="U53" s="668">
        <v>110.4</v>
      </c>
      <c r="V53" s="668">
        <v>107.8</v>
      </c>
    </row>
    <row r="54" spans="1:22" x14ac:dyDescent="0.25">
      <c r="A54" s="1353"/>
      <c r="B54" s="1353"/>
      <c r="C54" s="1358"/>
      <c r="D54" s="1359"/>
      <c r="E54" s="1354"/>
      <c r="F54" s="1354"/>
      <c r="G54" s="1354"/>
      <c r="H54" s="1354"/>
      <c r="I54" s="1354"/>
      <c r="J54" s="1354"/>
      <c r="K54" s="1354"/>
      <c r="L54" s="1354"/>
      <c r="M54" s="1354"/>
      <c r="N54" s="1354"/>
      <c r="O54" s="1354"/>
      <c r="P54" s="1354"/>
      <c r="Q54" s="1354"/>
      <c r="R54" s="1354"/>
      <c r="S54" s="1354"/>
      <c r="T54" s="1354"/>
      <c r="U54" s="1354"/>
      <c r="V54" s="1354"/>
    </row>
    <row r="55" spans="1:22" x14ac:dyDescent="0.25">
      <c r="A55" s="1310"/>
      <c r="B55" s="1310"/>
      <c r="C55" s="1345"/>
      <c r="D55" s="1360"/>
      <c r="E55" s="682"/>
      <c r="F55" s="682"/>
      <c r="G55" s="682"/>
      <c r="H55" s="682"/>
      <c r="I55" s="682"/>
      <c r="J55" s="682"/>
      <c r="K55" s="682"/>
      <c r="L55" s="682"/>
      <c r="M55" s="682"/>
      <c r="N55" s="682"/>
      <c r="O55" s="682"/>
      <c r="P55" s="682"/>
      <c r="Q55" s="682"/>
      <c r="R55" s="682"/>
      <c r="S55" s="682"/>
      <c r="T55" s="682"/>
      <c r="U55" s="682"/>
      <c r="V55" s="682"/>
    </row>
    <row r="56" spans="1:22" x14ac:dyDescent="0.25">
      <c r="A56" s="1355" t="s">
        <v>526</v>
      </c>
      <c r="B56" s="1356"/>
      <c r="C56" s="1361"/>
      <c r="D56" s="1362"/>
      <c r="E56" s="687">
        <v>257</v>
      </c>
      <c r="F56" s="687">
        <v>385.2</v>
      </c>
      <c r="G56" s="687"/>
      <c r="H56" s="687">
        <v>274.7</v>
      </c>
      <c r="I56" s="687">
        <v>551.1</v>
      </c>
      <c r="J56" s="687"/>
      <c r="K56" s="687">
        <v>356.6</v>
      </c>
      <c r="L56" s="687">
        <v>664.5</v>
      </c>
      <c r="M56" s="687"/>
      <c r="N56" s="687">
        <v>382.8</v>
      </c>
      <c r="O56" s="687">
        <v>408.1</v>
      </c>
      <c r="P56" s="687"/>
      <c r="Q56" s="687">
        <v>708.3</v>
      </c>
      <c r="R56" s="687">
        <v>801.2</v>
      </c>
      <c r="S56" s="687">
        <v>772.7</v>
      </c>
      <c r="T56" s="687"/>
      <c r="U56" s="687">
        <v>894.8</v>
      </c>
      <c r="V56" s="687">
        <v>885.8</v>
      </c>
    </row>
    <row r="57" spans="1:22" x14ac:dyDescent="0.25">
      <c r="A57" s="1363"/>
      <c r="B57" s="1364"/>
      <c r="C57" s="1365"/>
      <c r="D57" s="1365"/>
      <c r="E57" s="692"/>
      <c r="F57" s="692"/>
      <c r="G57" s="692"/>
      <c r="H57" s="692"/>
      <c r="I57" s="692"/>
      <c r="J57" s="692"/>
      <c r="K57" s="692"/>
      <c r="L57" s="692"/>
      <c r="M57" s="692"/>
      <c r="N57" s="692"/>
      <c r="O57" s="692"/>
      <c r="P57" s="692"/>
      <c r="Q57" s="692"/>
      <c r="R57" s="692"/>
      <c r="S57" s="692"/>
      <c r="T57" s="692"/>
      <c r="U57" s="692"/>
      <c r="V57" s="692"/>
    </row>
    <row r="58" spans="1:22" x14ac:dyDescent="0.25">
      <c r="A58" s="1366"/>
      <c r="B58" s="1367"/>
      <c r="C58" s="1368"/>
      <c r="D58" s="1368"/>
      <c r="E58" s="696"/>
      <c r="F58" s="696"/>
      <c r="G58" s="696"/>
      <c r="H58" s="696"/>
      <c r="I58" s="696"/>
      <c r="J58" s="696"/>
      <c r="K58" s="696"/>
      <c r="L58" s="696"/>
      <c r="M58" s="696"/>
      <c r="N58" s="696"/>
      <c r="O58" s="696"/>
      <c r="P58" s="696"/>
      <c r="Q58" s="696"/>
      <c r="R58" s="696"/>
      <c r="S58" s="696"/>
      <c r="T58" s="696"/>
      <c r="U58" s="696"/>
      <c r="V58" s="696"/>
    </row>
    <row r="59" spans="1:22" x14ac:dyDescent="0.25">
      <c r="A59" s="1369" t="s">
        <v>611</v>
      </c>
      <c r="B59" s="1369"/>
      <c r="C59" s="1370"/>
      <c r="D59" s="1361"/>
      <c r="E59" s="696"/>
      <c r="F59" s="696"/>
      <c r="G59" s="696"/>
      <c r="H59" s="696"/>
      <c r="I59" s="696"/>
      <c r="J59" s="696"/>
      <c r="K59" s="696"/>
      <c r="L59" s="696"/>
      <c r="M59" s="696"/>
      <c r="N59" s="696"/>
      <c r="O59" s="696"/>
      <c r="P59" s="696"/>
      <c r="Q59" s="696"/>
      <c r="R59" s="696"/>
      <c r="S59" s="696"/>
      <c r="T59" s="696"/>
      <c r="U59" s="696"/>
      <c r="V59" s="696"/>
    </row>
    <row r="60" spans="1:22" x14ac:dyDescent="0.25">
      <c r="A60" s="1371" t="s">
        <v>526</v>
      </c>
      <c r="B60" s="1355"/>
      <c r="C60" s="1356"/>
      <c r="D60" s="1362"/>
      <c r="E60" s="687">
        <v>257</v>
      </c>
      <c r="F60" s="687">
        <v>192.6</v>
      </c>
      <c r="G60" s="687"/>
      <c r="H60" s="687">
        <v>274.7</v>
      </c>
      <c r="I60" s="687">
        <v>275.60000000000002</v>
      </c>
      <c r="J60" s="687"/>
      <c r="K60" s="687">
        <v>356.6</v>
      </c>
      <c r="L60" s="687">
        <v>332.3</v>
      </c>
      <c r="M60" s="687"/>
      <c r="N60" s="687">
        <v>191.4</v>
      </c>
      <c r="O60" s="687">
        <v>118.6</v>
      </c>
      <c r="P60" s="687"/>
      <c r="Q60" s="687">
        <v>236.1</v>
      </c>
      <c r="R60" s="687">
        <v>200.3</v>
      </c>
      <c r="S60" s="687">
        <v>147.9</v>
      </c>
      <c r="T60" s="687"/>
      <c r="U60" s="687">
        <v>259.8</v>
      </c>
      <c r="V60" s="687">
        <v>177.3</v>
      </c>
    </row>
    <row r="61" spans="1:22" x14ac:dyDescent="0.25">
      <c r="A61" s="1353"/>
      <c r="B61" s="1353"/>
      <c r="C61" s="1372"/>
      <c r="D61" s="1358"/>
      <c r="E61" s="1373"/>
      <c r="F61" s="1373"/>
      <c r="G61" s="1373"/>
      <c r="H61" s="1373"/>
      <c r="I61" s="1373"/>
      <c r="J61" s="1373"/>
      <c r="K61" s="1373"/>
      <c r="L61" s="1373"/>
      <c r="M61" s="1373"/>
      <c r="N61" s="1373"/>
      <c r="O61" s="1358"/>
      <c r="P61" s="1358"/>
      <c r="Q61" s="1358"/>
      <c r="R61" s="1373"/>
      <c r="S61" s="1373"/>
      <c r="T61" s="1373"/>
      <c r="U61" s="1373"/>
      <c r="V61" s="1373"/>
    </row>
    <row r="62" spans="1:22" x14ac:dyDescent="0.25">
      <c r="A62" s="1310"/>
      <c r="B62" s="1310"/>
      <c r="C62" s="1374"/>
      <c r="D62" s="1345"/>
      <c r="E62" s="1375"/>
      <c r="F62" s="1375"/>
      <c r="G62" s="1375"/>
      <c r="H62" s="1375"/>
      <c r="I62" s="1375"/>
      <c r="J62" s="1375"/>
      <c r="K62" s="1375"/>
      <c r="L62" s="1330"/>
      <c r="M62" s="1330"/>
      <c r="N62" s="1330"/>
      <c r="O62" s="1330"/>
      <c r="P62" s="1330"/>
      <c r="Q62" s="1330"/>
      <c r="R62" s="1330"/>
      <c r="S62" s="1330"/>
      <c r="T62" s="1330"/>
      <c r="U62" s="1330"/>
      <c r="V62" s="1330"/>
    </row>
    <row r="63" spans="1:22" x14ac:dyDescent="0.25">
      <c r="A63" s="1376" t="s">
        <v>612</v>
      </c>
      <c r="B63" s="1331"/>
      <c r="C63" s="1377"/>
      <c r="D63" s="1331"/>
      <c r="E63" s="1346"/>
      <c r="F63" s="1346"/>
      <c r="G63" s="1346"/>
      <c r="H63" s="1346"/>
      <c r="I63" s="1346"/>
      <c r="J63" s="1346"/>
      <c r="K63" s="1346"/>
      <c r="L63" s="1313"/>
      <c r="M63" s="1313"/>
      <c r="N63" s="1346"/>
      <c r="O63" s="1346"/>
      <c r="P63" s="1346"/>
      <c r="Q63" s="1346"/>
      <c r="R63" s="1346"/>
      <c r="S63" s="1346"/>
      <c r="T63" s="1346"/>
      <c r="U63" s="1346"/>
      <c r="V63" s="1346"/>
    </row>
    <row r="64" spans="1:22" x14ac:dyDescent="0.25">
      <c r="A64" s="1317" t="s">
        <v>613</v>
      </c>
      <c r="B64" s="1378"/>
      <c r="C64" s="1379"/>
      <c r="D64" s="1379"/>
      <c r="E64" s="1380"/>
      <c r="F64" s="1380"/>
      <c r="G64" s="1380"/>
      <c r="H64" s="1380"/>
      <c r="I64" s="1380"/>
      <c r="J64" s="1380"/>
      <c r="K64" s="1380"/>
      <c r="L64" s="1313"/>
      <c r="M64" s="1313"/>
      <c r="N64" s="1380"/>
      <c r="O64" s="1380"/>
      <c r="P64" s="1380"/>
      <c r="Q64" s="1380"/>
      <c r="R64" s="1380"/>
      <c r="S64" s="1380"/>
      <c r="T64" s="1380"/>
      <c r="U64" s="1380"/>
      <c r="V64" s="1380"/>
    </row>
    <row r="65" spans="1:22" x14ac:dyDescent="0.25">
      <c r="A65" s="1381" t="s">
        <v>641</v>
      </c>
      <c r="B65" s="1378"/>
      <c r="C65" s="1379"/>
      <c r="D65" s="1379"/>
      <c r="E65" s="1380"/>
      <c r="F65" s="1380"/>
      <c r="G65" s="1380"/>
      <c r="H65" s="1380"/>
      <c r="I65" s="1380"/>
      <c r="J65" s="1380"/>
      <c r="K65" s="1380"/>
      <c r="L65" s="1313"/>
      <c r="M65" s="1313"/>
      <c r="N65" s="1380"/>
      <c r="O65" s="1380"/>
      <c r="P65" s="1380"/>
      <c r="Q65" s="1380"/>
      <c r="R65" s="1380"/>
      <c r="S65" s="1380"/>
      <c r="T65" s="1380"/>
      <c r="U65" s="1380"/>
      <c r="V65" s="1380"/>
    </row>
    <row r="66" spans="1:22" x14ac:dyDescent="0.25">
      <c r="A66" s="1317" t="s">
        <v>642</v>
      </c>
      <c r="B66" s="1382"/>
      <c r="C66" s="1379"/>
      <c r="D66" s="1379"/>
      <c r="E66" s="1380"/>
      <c r="F66" s="1380"/>
      <c r="G66" s="1380"/>
      <c r="H66" s="1380"/>
      <c r="I66" s="1380"/>
      <c r="J66" s="1380"/>
      <c r="K66" s="1380"/>
      <c r="L66" s="1313"/>
      <c r="M66" s="1313"/>
      <c r="N66" s="1380"/>
      <c r="O66" s="1380"/>
      <c r="P66" s="1380"/>
      <c r="Q66" s="1380"/>
      <c r="R66" s="1380"/>
      <c r="S66" s="1380"/>
      <c r="T66" s="1380"/>
      <c r="U66" s="1380"/>
      <c r="V66" s="1331"/>
    </row>
    <row r="67" spans="1:22" x14ac:dyDescent="0.25">
      <c r="A67" s="1317"/>
      <c r="B67" s="1317"/>
      <c r="C67" s="1383"/>
      <c r="D67" s="1383"/>
      <c r="E67" s="1328"/>
      <c r="F67" s="1328"/>
      <c r="G67" s="1328"/>
      <c r="H67" s="1328"/>
      <c r="I67" s="1328"/>
      <c r="J67" s="1328"/>
      <c r="K67" s="1328"/>
      <c r="L67" s="1381"/>
      <c r="M67" s="1381"/>
      <c r="N67" s="1381"/>
      <c r="O67" s="1381"/>
      <c r="P67" s="1381"/>
      <c r="Q67" s="1381"/>
      <c r="R67" s="1381"/>
      <c r="S67" s="1381"/>
      <c r="T67" s="1381"/>
      <c r="U67" s="1381"/>
      <c r="V67" s="1381"/>
    </row>
    <row r="68" spans="1:22" x14ac:dyDescent="0.25">
      <c r="A68" s="1313"/>
      <c r="B68" s="1331"/>
      <c r="C68" s="1331"/>
      <c r="D68" s="1331"/>
      <c r="E68" s="1331"/>
      <c r="F68" s="1380"/>
      <c r="G68" s="1380"/>
      <c r="H68" s="1380"/>
      <c r="I68" s="1380"/>
      <c r="J68" s="1380"/>
      <c r="K68" s="1380"/>
      <c r="L68" s="1381"/>
      <c r="M68" s="1381"/>
      <c r="N68" s="1381"/>
      <c r="O68" s="1381"/>
      <c r="P68" s="1381"/>
      <c r="Q68" s="1381"/>
      <c r="R68" s="1381"/>
      <c r="S68" s="1381"/>
      <c r="T68" s="1381"/>
      <c r="U68" s="1381"/>
      <c r="V68" s="1381"/>
    </row>
    <row r="69" spans="1:22" x14ac:dyDescent="0.25">
      <c r="A69" s="1313" t="s">
        <v>616</v>
      </c>
      <c r="B69" s="1317"/>
      <c r="C69" s="1383"/>
      <c r="D69" s="1383"/>
      <c r="E69" s="1328"/>
      <c r="F69" s="1328"/>
      <c r="G69" s="1328"/>
      <c r="H69" s="1328"/>
      <c r="I69" s="1328"/>
      <c r="J69" s="1328"/>
      <c r="K69" s="1328"/>
      <c r="L69" s="1313"/>
      <c r="M69" s="1313"/>
      <c r="N69" s="1313"/>
      <c r="O69" s="1313"/>
      <c r="P69" s="1313"/>
      <c r="Q69" s="1313"/>
      <c r="R69" s="1313"/>
      <c r="S69" s="1313"/>
      <c r="T69" s="1313"/>
      <c r="U69" s="1313"/>
      <c r="V69" s="1313"/>
    </row>
  </sheetData>
  <mergeCells count="7">
    <mergeCell ref="F22:U22"/>
    <mergeCell ref="AI12:AJ12"/>
    <mergeCell ref="BF7:BG7"/>
    <mergeCell ref="N7:O7"/>
    <mergeCell ref="AC7:AD7"/>
    <mergeCell ref="AM7:AN7"/>
    <mergeCell ref="AX7:AY7"/>
  </mergeCells>
  <conditionalFormatting sqref="AV14:BB31 BD14:BJ31">
    <cfRule type="cellIs" dxfId="3" priority="1" operator="greaterThan">
      <formula>0</formula>
    </cfRule>
    <cfRule type="cellIs" dxfId="2" priority="2" operator="lessThan">
      <formula>0</formula>
    </cfRule>
  </conditionalFormatting>
  <hyperlinks>
    <hyperlink ref="V1" location="Contents!A1" display="Back to Contents" xr:uid="{768402BE-3E15-4587-BF58-E22C1362B69F}"/>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A4C8C-4E41-4518-929F-F267B6A5258D}">
  <sheetPr codeName="Sheet22">
    <tabColor rgb="FF002060"/>
  </sheetPr>
  <dimension ref="A1:BB69"/>
  <sheetViews>
    <sheetView showGridLines="0" topLeftCell="A4" workbookViewId="0">
      <selection activeCell="O37" sqref="O37"/>
    </sheetView>
  </sheetViews>
  <sheetFormatPr defaultRowHeight="15" x14ac:dyDescent="0.25"/>
  <cols>
    <col min="4" max="4" width="10.85546875" customWidth="1"/>
    <col min="5" max="5" width="9" customWidth="1"/>
    <col min="6" max="6" width="9.85546875" customWidth="1"/>
    <col min="25" max="25" width="9.140625" bestFit="1" customWidth="1"/>
    <col min="26" max="26" width="30.140625" bestFit="1" customWidth="1"/>
    <col min="47" max="47" width="35.7109375" bestFit="1" customWidth="1"/>
  </cols>
  <sheetData>
    <row r="1" spans="1:54" ht="15.75" x14ac:dyDescent="0.25">
      <c r="A1" s="1294" t="s">
        <v>540</v>
      </c>
      <c r="B1" s="1295"/>
      <c r="C1" s="1296"/>
      <c r="D1" s="1296"/>
      <c r="E1" s="1297"/>
      <c r="F1" s="1297"/>
      <c r="G1" s="1297"/>
      <c r="H1" s="1297"/>
      <c r="I1" s="1297"/>
      <c r="J1" s="1297"/>
      <c r="K1" s="1298"/>
      <c r="L1" s="1299"/>
      <c r="M1" s="1299"/>
      <c r="N1" s="1299"/>
      <c r="O1" s="1299"/>
      <c r="P1" s="1299"/>
      <c r="Q1" s="1299"/>
      <c r="R1" s="1299"/>
      <c r="S1" s="1299"/>
      <c r="T1" s="1299"/>
      <c r="U1" s="1299"/>
      <c r="V1" s="803" t="s">
        <v>591</v>
      </c>
    </row>
    <row r="2" spans="1:54" ht="18" x14ac:dyDescent="0.25">
      <c r="A2" s="1294" t="s">
        <v>617</v>
      </c>
      <c r="B2" s="1295"/>
      <c r="C2" s="1300"/>
      <c r="D2" s="1301"/>
      <c r="E2" s="1302"/>
      <c r="F2" s="1302"/>
      <c r="G2" s="1302"/>
      <c r="H2" s="1302"/>
      <c r="I2" s="1302"/>
      <c r="J2" s="1302"/>
      <c r="K2" s="1302"/>
      <c r="L2" s="1299"/>
      <c r="M2" s="1299"/>
      <c r="N2" s="1299"/>
      <c r="O2" s="1299"/>
      <c r="P2" s="1299"/>
      <c r="Q2" s="1299"/>
      <c r="R2" s="1299"/>
      <c r="S2" s="1299"/>
      <c r="T2" s="1299"/>
      <c r="U2" s="1299"/>
      <c r="V2" s="1299"/>
    </row>
    <row r="3" spans="1:54" ht="18" x14ac:dyDescent="0.25">
      <c r="A3" s="1303" t="s">
        <v>618</v>
      </c>
      <c r="B3" s="1295"/>
      <c r="C3" s="1304"/>
      <c r="D3" s="1301"/>
      <c r="E3" s="1302"/>
      <c r="F3" s="1302"/>
      <c r="G3" s="1302"/>
      <c r="H3" s="1302"/>
      <c r="I3" s="1302"/>
      <c r="J3" s="1302"/>
      <c r="K3" s="1302"/>
      <c r="L3" s="1299"/>
      <c r="M3" s="1299"/>
      <c r="N3" s="1299"/>
      <c r="O3" s="1299"/>
      <c r="P3" s="1299"/>
      <c r="Q3" s="1299"/>
      <c r="R3" s="1299"/>
      <c r="S3" s="1299"/>
      <c r="T3" s="1299"/>
      <c r="U3" s="1299"/>
      <c r="V3" s="1299"/>
    </row>
    <row r="4" spans="1:54" x14ac:dyDescent="0.25">
      <c r="A4" s="1305"/>
      <c r="B4" s="1305"/>
      <c r="C4" s="1306"/>
      <c r="D4" s="1306"/>
      <c r="E4" s="1307"/>
      <c r="F4" s="1307"/>
      <c r="G4" s="1307"/>
      <c r="H4" s="1307"/>
      <c r="I4" s="1307"/>
      <c r="J4" s="1307"/>
      <c r="K4" s="1307"/>
      <c r="L4" s="1308"/>
      <c r="M4" s="1308"/>
      <c r="N4" s="1307"/>
      <c r="O4" s="1306"/>
      <c r="P4" s="1306"/>
      <c r="Q4" s="1306"/>
      <c r="R4" s="1307"/>
      <c r="S4" s="1307"/>
      <c r="T4" s="1307"/>
      <c r="U4" s="1307"/>
      <c r="V4" s="1307"/>
    </row>
    <row r="5" spans="1:54" x14ac:dyDescent="0.25">
      <c r="A5" s="1309"/>
      <c r="B5" s="1310"/>
      <c r="C5" s="1311"/>
      <c r="D5" s="1311"/>
      <c r="E5" s="1312"/>
      <c r="F5" s="1312"/>
      <c r="G5" s="1312"/>
      <c r="H5" s="1312"/>
      <c r="I5" s="1312"/>
      <c r="J5" s="1312"/>
      <c r="K5" s="1312"/>
      <c r="L5" s="1313"/>
      <c r="M5" s="1313"/>
      <c r="N5" s="1312"/>
      <c r="O5" s="1311"/>
      <c r="P5" s="1311"/>
      <c r="Q5" s="1311"/>
      <c r="R5" s="1312"/>
      <c r="S5" s="1312"/>
      <c r="T5" s="1312"/>
      <c r="U5" s="1312"/>
      <c r="V5" s="1312"/>
      <c r="AA5" s="1312"/>
      <c r="AB5" s="1313"/>
      <c r="AC5" s="1312"/>
      <c r="AD5" s="1311"/>
      <c r="AE5" s="1311"/>
      <c r="AF5" s="1312"/>
      <c r="AG5" s="1312"/>
    </row>
    <row r="6" spans="1:54" x14ac:dyDescent="0.25">
      <c r="A6" s="1309"/>
      <c r="B6" s="1310"/>
      <c r="C6" s="1311"/>
      <c r="D6" s="1311"/>
      <c r="E6" s="1314" t="s">
        <v>594</v>
      </c>
      <c r="F6" s="1314"/>
      <c r="G6" s="1314"/>
      <c r="H6" s="1314"/>
      <c r="I6" s="1314"/>
      <c r="J6" s="1315"/>
      <c r="K6" s="1315" t="s">
        <v>595</v>
      </c>
      <c r="L6" s="1316"/>
      <c r="M6" s="1316"/>
      <c r="N6" s="1314" t="s">
        <v>596</v>
      </c>
      <c r="O6" s="1314"/>
      <c r="P6" s="1314"/>
      <c r="Q6" s="1314"/>
      <c r="R6" s="1314"/>
      <c r="S6" s="1314"/>
      <c r="T6" s="1314"/>
      <c r="U6" s="1314"/>
      <c r="V6" s="1314"/>
      <c r="AA6" s="1315" t="s">
        <v>595</v>
      </c>
      <c r="AB6" s="1316"/>
      <c r="AC6" s="1314" t="s">
        <v>596</v>
      </c>
      <c r="AD6" s="1314"/>
      <c r="AE6" s="1314"/>
      <c r="AF6" s="1314"/>
      <c r="AG6" s="1314"/>
      <c r="AJ6">
        <v>2018</v>
      </c>
      <c r="AK6" s="1315" t="s">
        <v>595</v>
      </c>
      <c r="AL6" s="1316"/>
      <c r="AM6" s="1314" t="s">
        <v>596</v>
      </c>
      <c r="AN6" s="1314"/>
      <c r="AO6" s="1314"/>
      <c r="AP6" s="1314"/>
      <c r="AQ6" s="1314"/>
      <c r="AV6" s="1315" t="s">
        <v>595</v>
      </c>
      <c r="AW6" s="1316"/>
      <c r="AX6" s="1314" t="s">
        <v>596</v>
      </c>
      <c r="AY6" s="1314"/>
      <c r="AZ6" s="1314"/>
      <c r="BA6" s="1314"/>
      <c r="BB6" s="1314"/>
    </row>
    <row r="7" spans="1:54" x14ac:dyDescent="0.25">
      <c r="A7" s="1317"/>
      <c r="B7" s="1317"/>
      <c r="C7" s="1318"/>
      <c r="D7" s="1318"/>
      <c r="E7" s="1319" t="s">
        <v>597</v>
      </c>
      <c r="F7" s="1320"/>
      <c r="G7" s="1321"/>
      <c r="H7" s="1322" t="s">
        <v>598</v>
      </c>
      <c r="I7" s="1320"/>
      <c r="J7" s="1316"/>
      <c r="K7" s="1323" t="s">
        <v>527</v>
      </c>
      <c r="L7" s="1324" t="s">
        <v>528</v>
      </c>
      <c r="M7" s="1325"/>
      <c r="N7" s="1773" t="s">
        <v>529</v>
      </c>
      <c r="O7" s="1773"/>
      <c r="P7" s="1326"/>
      <c r="Q7" s="1319" t="s">
        <v>530</v>
      </c>
      <c r="R7" s="1327"/>
      <c r="S7" s="1320"/>
      <c r="T7" s="1316"/>
      <c r="U7" s="1322" t="s">
        <v>599</v>
      </c>
      <c r="V7" s="1320"/>
      <c r="AA7" s="1323" t="s">
        <v>527</v>
      </c>
      <c r="AB7" s="1324" t="s">
        <v>528</v>
      </c>
      <c r="AC7" s="1773" t="s">
        <v>529</v>
      </c>
      <c r="AD7" s="1773"/>
      <c r="AE7" s="1319" t="s">
        <v>530</v>
      </c>
      <c r="AF7" s="1327"/>
      <c r="AG7" s="1320"/>
      <c r="AK7" s="1323" t="s">
        <v>527</v>
      </c>
      <c r="AL7" s="1324" t="s">
        <v>528</v>
      </c>
      <c r="AM7" s="1773" t="s">
        <v>529</v>
      </c>
      <c r="AN7" s="1773"/>
      <c r="AO7" s="1319" t="s">
        <v>530</v>
      </c>
      <c r="AP7" s="1327"/>
      <c r="AQ7" s="1320"/>
      <c r="AV7" s="1323" t="s">
        <v>527</v>
      </c>
      <c r="AW7" s="1324" t="s">
        <v>528</v>
      </c>
      <c r="AX7" s="1773" t="s">
        <v>529</v>
      </c>
      <c r="AY7" s="1773"/>
      <c r="AZ7" s="1319" t="s">
        <v>530</v>
      </c>
      <c r="BA7" s="1327"/>
      <c r="BB7" s="1320"/>
    </row>
    <row r="8" spans="1:54" x14ac:dyDescent="0.25">
      <c r="A8" s="1317"/>
      <c r="B8" s="1317"/>
      <c r="C8" s="1328"/>
      <c r="D8" s="1328"/>
      <c r="E8" s="696" t="s">
        <v>527</v>
      </c>
      <c r="F8" s="696" t="s">
        <v>600</v>
      </c>
      <c r="G8" s="696"/>
      <c r="H8" s="696" t="s">
        <v>527</v>
      </c>
      <c r="I8" s="696" t="s">
        <v>528</v>
      </c>
      <c r="J8" s="696"/>
      <c r="K8" s="1325" t="s">
        <v>532</v>
      </c>
      <c r="L8" s="1325" t="s">
        <v>533</v>
      </c>
      <c r="M8" s="1325"/>
      <c r="N8" s="696" t="s">
        <v>534</v>
      </c>
      <c r="O8" s="1329" t="s">
        <v>534</v>
      </c>
      <c r="P8" s="696"/>
      <c r="Q8" s="1325" t="s">
        <v>534</v>
      </c>
      <c r="R8" s="1329" t="s">
        <v>534</v>
      </c>
      <c r="S8" s="1329" t="s">
        <v>534</v>
      </c>
      <c r="T8" s="696"/>
      <c r="U8" s="1329" t="s">
        <v>601</v>
      </c>
      <c r="V8" s="1329" t="s">
        <v>534</v>
      </c>
      <c r="AA8" s="1325" t="s">
        <v>532</v>
      </c>
      <c r="AB8" s="1325" t="s">
        <v>533</v>
      </c>
      <c r="AC8" s="696" t="s">
        <v>534</v>
      </c>
      <c r="AD8" s="1329" t="s">
        <v>534</v>
      </c>
      <c r="AE8" s="1325" t="s">
        <v>534</v>
      </c>
      <c r="AF8" s="1329" t="s">
        <v>534</v>
      </c>
      <c r="AG8" s="1329" t="s">
        <v>534</v>
      </c>
      <c r="AK8" s="1325" t="s">
        <v>532</v>
      </c>
      <c r="AL8" s="1325" t="s">
        <v>533</v>
      </c>
      <c r="AM8" s="696" t="s">
        <v>534</v>
      </c>
      <c r="AN8" s="1329" t="s">
        <v>534</v>
      </c>
      <c r="AO8" s="1325" t="s">
        <v>534</v>
      </c>
      <c r="AP8" s="1329" t="s">
        <v>534</v>
      </c>
      <c r="AQ8" s="1329" t="s">
        <v>534</v>
      </c>
      <c r="AV8" s="1325" t="s">
        <v>532</v>
      </c>
      <c r="AW8" s="1325" t="s">
        <v>533</v>
      </c>
      <c r="AX8" s="696" t="s">
        <v>534</v>
      </c>
      <c r="AY8" s="1329" t="s">
        <v>534</v>
      </c>
      <c r="AZ8" s="1325" t="s">
        <v>534</v>
      </c>
      <c r="BA8" s="1329" t="s">
        <v>534</v>
      </c>
      <c r="BB8" s="1329" t="s">
        <v>534</v>
      </c>
    </row>
    <row r="9" spans="1:54" x14ac:dyDescent="0.25">
      <c r="A9" s="1317"/>
      <c r="B9" s="1317"/>
      <c r="C9" s="1328"/>
      <c r="D9" s="1328"/>
      <c r="E9" s="1325" t="s">
        <v>532</v>
      </c>
      <c r="F9" s="696" t="s">
        <v>533</v>
      </c>
      <c r="G9" s="696"/>
      <c r="H9" s="1325" t="s">
        <v>532</v>
      </c>
      <c r="I9" s="696" t="s">
        <v>533</v>
      </c>
      <c r="J9" s="696"/>
      <c r="K9" s="1325" t="s">
        <v>536</v>
      </c>
      <c r="L9" s="1325"/>
      <c r="M9" s="1325"/>
      <c r="N9" s="696" t="s">
        <v>537</v>
      </c>
      <c r="O9" s="696" t="s">
        <v>538</v>
      </c>
      <c r="P9" s="696"/>
      <c r="Q9" s="696" t="s">
        <v>537</v>
      </c>
      <c r="R9" s="696" t="s">
        <v>538</v>
      </c>
      <c r="S9" s="696" t="s">
        <v>539</v>
      </c>
      <c r="T9" s="696"/>
      <c r="U9" s="696" t="s">
        <v>543</v>
      </c>
      <c r="V9" s="696" t="s">
        <v>543</v>
      </c>
      <c r="AA9" s="1325" t="s">
        <v>536</v>
      </c>
      <c r="AB9" s="1325"/>
      <c r="AC9" s="696" t="s">
        <v>537</v>
      </c>
      <c r="AD9" s="696" t="s">
        <v>538</v>
      </c>
      <c r="AE9" s="696" t="s">
        <v>537</v>
      </c>
      <c r="AF9" s="696" t="s">
        <v>538</v>
      </c>
      <c r="AG9" s="696" t="s">
        <v>539</v>
      </c>
      <c r="AK9" s="1325" t="s">
        <v>536</v>
      </c>
      <c r="AL9" s="1325"/>
      <c r="AM9" s="696" t="s">
        <v>537</v>
      </c>
      <c r="AN9" s="696" t="s">
        <v>538</v>
      </c>
      <c r="AO9" s="696" t="s">
        <v>537</v>
      </c>
      <c r="AP9" s="696" t="s">
        <v>538</v>
      </c>
      <c r="AQ9" s="696" t="s">
        <v>539</v>
      </c>
      <c r="AV9" s="1325" t="s">
        <v>536</v>
      </c>
      <c r="AW9" s="1325"/>
      <c r="AX9" s="696" t="s">
        <v>537</v>
      </c>
      <c r="AY9" s="696" t="s">
        <v>538</v>
      </c>
      <c r="AZ9" s="696" t="s">
        <v>537</v>
      </c>
      <c r="BA9" s="696" t="s">
        <v>538</v>
      </c>
      <c r="BB9" s="696" t="s">
        <v>539</v>
      </c>
    </row>
    <row r="10" spans="1:54" x14ac:dyDescent="0.25">
      <c r="A10" s="1317"/>
      <c r="B10" s="1317"/>
      <c r="C10" s="1328"/>
      <c r="D10" s="1328"/>
      <c r="E10" s="1304"/>
      <c r="F10" s="696"/>
      <c r="G10" s="696"/>
      <c r="H10" s="1304"/>
      <c r="I10" s="696"/>
      <c r="J10" s="696"/>
      <c r="K10" s="1304"/>
      <c r="L10" s="1304"/>
      <c r="M10" s="1304"/>
      <c r="N10" s="696" t="s">
        <v>541</v>
      </c>
      <c r="O10" s="696" t="s">
        <v>542</v>
      </c>
      <c r="P10" s="696"/>
      <c r="Q10" s="696" t="s">
        <v>541</v>
      </c>
      <c r="R10" s="696" t="s">
        <v>543</v>
      </c>
      <c r="S10" s="696" t="s">
        <v>542</v>
      </c>
      <c r="T10" s="696"/>
      <c r="U10" s="1325"/>
      <c r="V10" s="1325"/>
      <c r="AA10" s="1304"/>
      <c r="AB10" s="1304"/>
      <c r="AC10" s="696" t="s">
        <v>541</v>
      </c>
      <c r="AD10" s="696" t="s">
        <v>542</v>
      </c>
      <c r="AE10" s="696" t="s">
        <v>541</v>
      </c>
      <c r="AF10" s="696" t="s">
        <v>543</v>
      </c>
      <c r="AG10" s="696" t="s">
        <v>542</v>
      </c>
      <c r="AK10" s="1304"/>
      <c r="AL10" s="1304"/>
      <c r="AM10" s="696" t="s">
        <v>541</v>
      </c>
      <c r="AN10" s="696" t="s">
        <v>542</v>
      </c>
      <c r="AO10" s="696" t="s">
        <v>541</v>
      </c>
      <c r="AP10" s="696" t="s">
        <v>543</v>
      </c>
      <c r="AQ10" s="696" t="s">
        <v>542</v>
      </c>
      <c r="AV10" s="1304"/>
      <c r="AW10" s="1304"/>
      <c r="AX10" s="696" t="s">
        <v>541</v>
      </c>
      <c r="AY10" s="696" t="s">
        <v>542</v>
      </c>
      <c r="AZ10" s="696" t="s">
        <v>541</v>
      </c>
      <c r="BA10" s="696" t="s">
        <v>543</v>
      </c>
      <c r="BB10" s="696" t="s">
        <v>542</v>
      </c>
    </row>
    <row r="11" spans="1:54" x14ac:dyDescent="0.25">
      <c r="A11" s="1330"/>
      <c r="B11" s="1330"/>
      <c r="C11" s="1330"/>
      <c r="D11" s="1330"/>
      <c r="E11" s="1331"/>
      <c r="F11" s="1331"/>
      <c r="G11" s="1331"/>
      <c r="H11" s="1331"/>
      <c r="I11" s="1331"/>
      <c r="J11" s="1331"/>
      <c r="K11" s="1331"/>
      <c r="L11" s="1331"/>
      <c r="M11" s="1331"/>
      <c r="N11" s="1304"/>
      <c r="O11" s="696" t="s">
        <v>543</v>
      </c>
      <c r="P11" s="696"/>
      <c r="Q11" s="1304"/>
      <c r="R11" s="1304"/>
      <c r="S11" s="696" t="s">
        <v>543</v>
      </c>
      <c r="T11" s="696"/>
      <c r="U11" s="1304"/>
      <c r="V11" s="1304"/>
      <c r="AA11" s="1331"/>
      <c r="AB11" s="1331"/>
      <c r="AC11" s="1304"/>
      <c r="AD11" s="696" t="s">
        <v>543</v>
      </c>
      <c r="AE11" s="1304"/>
      <c r="AF11" s="1304"/>
      <c r="AG11" s="696" t="s">
        <v>543</v>
      </c>
      <c r="AK11" s="1331"/>
      <c r="AL11" s="1331"/>
      <c r="AM11" s="1304"/>
      <c r="AN11" s="696" t="s">
        <v>543</v>
      </c>
      <c r="AO11" s="1304"/>
      <c r="AP11" s="1304"/>
      <c r="AQ11" s="696" t="s">
        <v>543</v>
      </c>
      <c r="AV11" s="1331"/>
      <c r="AW11" s="1331"/>
      <c r="AX11" s="1304"/>
      <c r="AY11" s="696" t="s">
        <v>543</v>
      </c>
      <c r="AZ11" s="1304"/>
      <c r="BA11" s="1304"/>
      <c r="BB11" s="696" t="s">
        <v>543</v>
      </c>
    </row>
    <row r="12" spans="1:54" x14ac:dyDescent="0.25">
      <c r="A12" s="1305"/>
      <c r="B12" s="1305"/>
      <c r="C12" s="1306"/>
      <c r="D12" s="1306"/>
      <c r="E12" s="1307"/>
      <c r="F12" s="1307"/>
      <c r="G12" s="1307"/>
      <c r="H12" s="1307"/>
      <c r="I12" s="1307"/>
      <c r="J12" s="1307"/>
      <c r="K12" s="1307"/>
      <c r="L12" s="1307"/>
      <c r="M12" s="1307"/>
      <c r="N12" s="1307"/>
      <c r="O12" s="1306"/>
      <c r="P12" s="1306"/>
      <c r="Q12" s="1306"/>
      <c r="R12" s="1307"/>
      <c r="S12" s="1307"/>
      <c r="T12" s="1307"/>
      <c r="U12" s="1307"/>
      <c r="V12" s="1307"/>
      <c r="AA12" s="1307"/>
      <c r="AB12" s="1307"/>
      <c r="AC12" s="1307"/>
      <c r="AD12" s="1306"/>
      <c r="AE12" s="1306"/>
      <c r="AF12" s="1307"/>
      <c r="AG12" s="1307"/>
      <c r="AK12" s="1307"/>
      <c r="AL12" s="1307"/>
      <c r="AM12" s="1307"/>
      <c r="AN12" s="1306"/>
      <c r="AO12" s="1306"/>
      <c r="AP12" s="1307"/>
      <c r="AQ12" s="1307"/>
      <c r="AV12" s="1307"/>
      <c r="AW12" s="1307"/>
      <c r="AX12" s="1307"/>
      <c r="AY12" s="1306"/>
      <c r="AZ12" s="1306"/>
      <c r="BA12" s="1307"/>
      <c r="BB12" s="1307"/>
    </row>
    <row r="13" spans="1:54" x14ac:dyDescent="0.25">
      <c r="A13" s="1317"/>
      <c r="B13" s="1330"/>
      <c r="C13" s="1328"/>
      <c r="D13" s="1328"/>
      <c r="E13" s="649"/>
      <c r="F13" s="649"/>
      <c r="G13" s="649"/>
      <c r="H13" s="649"/>
      <c r="I13" s="649"/>
      <c r="J13" s="649"/>
      <c r="K13" s="649"/>
      <c r="L13" s="649"/>
      <c r="M13" s="649"/>
      <c r="N13" s="649"/>
      <c r="O13" s="649"/>
      <c r="P13" s="649"/>
      <c r="Q13" s="649"/>
      <c r="R13" s="649"/>
      <c r="S13" s="649"/>
      <c r="T13" s="649"/>
      <c r="U13" s="649"/>
      <c r="V13" s="649"/>
    </row>
    <row r="14" spans="1:54" x14ac:dyDescent="0.25">
      <c r="A14" s="1317" t="s">
        <v>602</v>
      </c>
      <c r="B14" s="1330"/>
      <c r="C14" s="1328"/>
      <c r="D14" s="1328"/>
      <c r="E14" s="649">
        <v>770</v>
      </c>
      <c r="F14" s="649">
        <v>470</v>
      </c>
      <c r="G14" s="649"/>
      <c r="H14" s="649">
        <v>2780</v>
      </c>
      <c r="I14" s="649">
        <v>2770</v>
      </c>
      <c r="J14" s="649"/>
      <c r="K14" s="649">
        <v>4370</v>
      </c>
      <c r="L14" s="649">
        <v>6220</v>
      </c>
      <c r="M14" s="649"/>
      <c r="N14" s="649">
        <v>620</v>
      </c>
      <c r="O14" s="649">
        <v>540</v>
      </c>
      <c r="P14" s="649"/>
      <c r="Q14" s="649">
        <v>2190</v>
      </c>
      <c r="R14" s="649">
        <v>2540</v>
      </c>
      <c r="S14" s="649">
        <v>960</v>
      </c>
      <c r="T14" s="649"/>
      <c r="U14" s="649">
        <v>2520</v>
      </c>
      <c r="V14" s="649">
        <v>1080</v>
      </c>
      <c r="Y14" s="1332">
        <v>1</v>
      </c>
      <c r="Z14" s="1333" t="s">
        <v>510</v>
      </c>
      <c r="AA14" s="668">
        <v>32.5</v>
      </c>
      <c r="AB14" s="668">
        <v>63.5</v>
      </c>
      <c r="AC14" s="668">
        <v>41.1</v>
      </c>
      <c r="AD14" s="668">
        <v>55</v>
      </c>
      <c r="AE14" s="668">
        <v>71.7</v>
      </c>
      <c r="AF14" s="668">
        <v>88.2</v>
      </c>
      <c r="AG14" s="668">
        <v>103.9</v>
      </c>
      <c r="AI14" t="s">
        <v>621</v>
      </c>
      <c r="AJ14" t="s">
        <v>551</v>
      </c>
      <c r="AK14">
        <v>31.4</v>
      </c>
      <c r="AL14">
        <v>60.8</v>
      </c>
      <c r="AM14">
        <v>40.5</v>
      </c>
      <c r="AN14">
        <v>57.1</v>
      </c>
      <c r="AO14">
        <v>69.3</v>
      </c>
      <c r="AP14">
        <v>83.4</v>
      </c>
      <c r="AQ14">
        <v>88.6</v>
      </c>
      <c r="AT14" t="s">
        <v>621</v>
      </c>
      <c r="AU14" t="s">
        <v>551</v>
      </c>
      <c r="AV14" s="804">
        <f t="shared" ref="AV14:AV22" si="0">AA14-AK14</f>
        <v>1.1000000000000014</v>
      </c>
      <c r="AW14" s="804">
        <f t="shared" ref="AW14:AW22" si="1">AB14-AL14</f>
        <v>2.7000000000000028</v>
      </c>
      <c r="AX14" s="804">
        <f t="shared" ref="AX14:AX22" si="2">AC14-AM14</f>
        <v>0.60000000000000142</v>
      </c>
      <c r="AY14" s="804">
        <f t="shared" ref="AY14:AY22" si="3">AD14-AN14</f>
        <v>-2.1000000000000014</v>
      </c>
      <c r="AZ14" s="804">
        <f t="shared" ref="AZ14:AZ22" si="4">AE14-AO14</f>
        <v>2.4000000000000057</v>
      </c>
      <c r="BA14" s="804">
        <f t="shared" ref="BA14:BA22" si="5">AF14-AP14</f>
        <v>4.7999999999999972</v>
      </c>
      <c r="BB14" s="804">
        <f t="shared" ref="BB14:BB22" si="6">AG14-AQ14</f>
        <v>15.300000000000011</v>
      </c>
    </row>
    <row r="15" spans="1:54" x14ac:dyDescent="0.25">
      <c r="A15" s="1334" t="s">
        <v>603</v>
      </c>
      <c r="B15" s="1335"/>
      <c r="C15" s="1336"/>
      <c r="D15" s="1336"/>
      <c r="E15" s="649">
        <v>140</v>
      </c>
      <c r="F15" s="649">
        <v>120</v>
      </c>
      <c r="G15" s="649"/>
      <c r="H15" s="649">
        <v>530</v>
      </c>
      <c r="I15" s="649">
        <v>640</v>
      </c>
      <c r="J15" s="649"/>
      <c r="K15" s="649">
        <v>840</v>
      </c>
      <c r="L15" s="649">
        <v>1190</v>
      </c>
      <c r="M15" s="649"/>
      <c r="N15" s="649">
        <v>140</v>
      </c>
      <c r="O15" s="649">
        <v>130</v>
      </c>
      <c r="P15" s="649"/>
      <c r="Q15" s="649">
        <v>420</v>
      </c>
      <c r="R15" s="649">
        <v>510</v>
      </c>
      <c r="S15" s="649">
        <v>190</v>
      </c>
      <c r="T15" s="649"/>
      <c r="U15" s="649">
        <v>410</v>
      </c>
      <c r="V15" s="649">
        <v>170</v>
      </c>
      <c r="Y15" s="1332">
        <v>2</v>
      </c>
      <c r="Z15" s="1333" t="s">
        <v>511</v>
      </c>
      <c r="AA15" s="668">
        <v>9.1999999999999993</v>
      </c>
      <c r="AB15" s="668">
        <v>15.9</v>
      </c>
      <c r="AC15" s="668">
        <v>7.5</v>
      </c>
      <c r="AD15" s="668">
        <v>6.6</v>
      </c>
      <c r="AE15" s="668">
        <v>12.4</v>
      </c>
      <c r="AF15" s="668">
        <v>11.6</v>
      </c>
      <c r="AG15" s="668">
        <v>10.7</v>
      </c>
      <c r="AI15" t="s">
        <v>622</v>
      </c>
      <c r="AJ15" t="s">
        <v>623</v>
      </c>
      <c r="AK15">
        <v>9.3000000000000007</v>
      </c>
      <c r="AL15">
        <v>15.1</v>
      </c>
      <c r="AM15">
        <v>4.7</v>
      </c>
      <c r="AN15">
        <v>7.1</v>
      </c>
      <c r="AO15">
        <v>11.2</v>
      </c>
      <c r="AP15">
        <v>12.3</v>
      </c>
      <c r="AQ15">
        <v>13.3</v>
      </c>
      <c r="AT15" t="s">
        <v>622</v>
      </c>
      <c r="AU15" t="s">
        <v>623</v>
      </c>
      <c r="AV15" s="804">
        <f t="shared" si="0"/>
        <v>-0.10000000000000142</v>
      </c>
      <c r="AW15" s="804">
        <f t="shared" si="1"/>
        <v>0.80000000000000071</v>
      </c>
      <c r="AX15" s="804">
        <f t="shared" si="2"/>
        <v>2.8</v>
      </c>
      <c r="AY15" s="804">
        <f t="shared" si="3"/>
        <v>-0.5</v>
      </c>
      <c r="AZ15" s="804">
        <f t="shared" si="4"/>
        <v>1.2000000000000011</v>
      </c>
      <c r="BA15" s="804">
        <f t="shared" si="5"/>
        <v>-0.70000000000000107</v>
      </c>
      <c r="BB15" s="804">
        <f t="shared" si="6"/>
        <v>-2.6000000000000014</v>
      </c>
    </row>
    <row r="16" spans="1:54" x14ac:dyDescent="0.25">
      <c r="A16" s="1334" t="s">
        <v>604</v>
      </c>
      <c r="B16" s="1335"/>
      <c r="C16" s="1336"/>
      <c r="D16" s="1336"/>
      <c r="E16" s="649">
        <v>140</v>
      </c>
      <c r="F16" s="649">
        <v>240</v>
      </c>
      <c r="G16" s="649"/>
      <c r="H16" s="649">
        <v>530</v>
      </c>
      <c r="I16" s="649">
        <v>1290</v>
      </c>
      <c r="J16" s="649"/>
      <c r="K16" s="649">
        <v>840</v>
      </c>
      <c r="L16" s="649">
        <v>2390</v>
      </c>
      <c r="M16" s="649"/>
      <c r="N16" s="649">
        <v>290</v>
      </c>
      <c r="O16" s="649">
        <v>440</v>
      </c>
      <c r="P16" s="649"/>
      <c r="Q16" s="649">
        <v>1270</v>
      </c>
      <c r="R16" s="649">
        <v>2040</v>
      </c>
      <c r="S16" s="649">
        <v>990</v>
      </c>
      <c r="T16" s="649"/>
      <c r="U16" s="649">
        <v>1370</v>
      </c>
      <c r="V16" s="649">
        <v>850</v>
      </c>
      <c r="Y16" s="1332">
        <v>3</v>
      </c>
      <c r="Z16" s="1337" t="s">
        <v>512</v>
      </c>
      <c r="AA16" s="668">
        <v>11</v>
      </c>
      <c r="AB16" s="668">
        <v>24</v>
      </c>
      <c r="AC16" s="668">
        <v>16.899999999999999</v>
      </c>
      <c r="AD16" s="668">
        <v>23.8</v>
      </c>
      <c r="AE16" s="668">
        <v>31.4</v>
      </c>
      <c r="AF16" s="668">
        <v>33.5</v>
      </c>
      <c r="AG16" s="668">
        <v>31.1</v>
      </c>
      <c r="AI16" t="s">
        <v>624</v>
      </c>
      <c r="AJ16" t="s">
        <v>554</v>
      </c>
      <c r="AK16">
        <v>9.8000000000000007</v>
      </c>
      <c r="AL16">
        <v>25.1</v>
      </c>
      <c r="AM16">
        <v>17.899999999999999</v>
      </c>
      <c r="AN16">
        <v>24.8</v>
      </c>
      <c r="AO16">
        <v>26.2</v>
      </c>
      <c r="AP16">
        <v>43.8</v>
      </c>
      <c r="AQ16">
        <v>34.4</v>
      </c>
      <c r="AT16" t="s">
        <v>624</v>
      </c>
      <c r="AU16" t="s">
        <v>554</v>
      </c>
      <c r="AV16" s="804">
        <f t="shared" si="0"/>
        <v>1.1999999999999993</v>
      </c>
      <c r="AW16" s="804">
        <f t="shared" si="1"/>
        <v>-1.1000000000000014</v>
      </c>
      <c r="AX16" s="804">
        <f t="shared" si="2"/>
        <v>-1</v>
      </c>
      <c r="AY16" s="804">
        <f t="shared" si="3"/>
        <v>-1</v>
      </c>
      <c r="AZ16" s="804">
        <f t="shared" si="4"/>
        <v>5.1999999999999993</v>
      </c>
      <c r="BA16" s="804">
        <f t="shared" si="5"/>
        <v>-10.299999999999997</v>
      </c>
      <c r="BB16" s="804">
        <f t="shared" si="6"/>
        <v>-3.2999999999999972</v>
      </c>
    </row>
    <row r="17" spans="1:54" x14ac:dyDescent="0.25">
      <c r="A17" s="1334" t="s">
        <v>605</v>
      </c>
      <c r="B17" s="1335"/>
      <c r="C17" s="1336"/>
      <c r="D17" s="1336"/>
      <c r="E17" s="649">
        <v>140</v>
      </c>
      <c r="F17" s="649">
        <v>240</v>
      </c>
      <c r="G17" s="649"/>
      <c r="H17" s="649">
        <v>530</v>
      </c>
      <c r="I17" s="649">
        <v>1290</v>
      </c>
      <c r="J17" s="649"/>
      <c r="K17" s="649">
        <v>840</v>
      </c>
      <c r="L17" s="649">
        <v>2390</v>
      </c>
      <c r="M17" s="649"/>
      <c r="N17" s="649">
        <v>140</v>
      </c>
      <c r="O17" s="649">
        <v>130</v>
      </c>
      <c r="P17" s="649"/>
      <c r="Q17" s="649">
        <v>850</v>
      </c>
      <c r="R17" s="649">
        <v>1020</v>
      </c>
      <c r="S17" s="649">
        <v>370</v>
      </c>
      <c r="T17" s="649"/>
      <c r="U17" s="649">
        <v>1370</v>
      </c>
      <c r="V17" s="649">
        <v>570</v>
      </c>
      <c r="Y17" s="1332">
        <v>4</v>
      </c>
      <c r="Z17" s="1333" t="s">
        <v>513</v>
      </c>
      <c r="AA17" s="668">
        <v>74</v>
      </c>
      <c r="AB17" s="668">
        <v>92.3</v>
      </c>
      <c r="AC17" s="668">
        <v>99.4</v>
      </c>
      <c r="AD17" s="668">
        <v>94.4</v>
      </c>
      <c r="AE17" s="668">
        <v>99.9</v>
      </c>
      <c r="AF17" s="668">
        <v>98</v>
      </c>
      <c r="AG17" s="668">
        <v>102.2</v>
      </c>
      <c r="AI17" t="s">
        <v>625</v>
      </c>
      <c r="AJ17" t="s">
        <v>626</v>
      </c>
      <c r="AK17">
        <v>70.3</v>
      </c>
      <c r="AL17">
        <v>84.1</v>
      </c>
      <c r="AM17">
        <v>85.2</v>
      </c>
      <c r="AN17">
        <v>63.3</v>
      </c>
      <c r="AO17">
        <v>86</v>
      </c>
      <c r="AP17">
        <v>89.1</v>
      </c>
      <c r="AQ17">
        <v>100.6</v>
      </c>
      <c r="AT17" t="s">
        <v>625</v>
      </c>
      <c r="AU17" t="s">
        <v>626</v>
      </c>
      <c r="AV17" s="804">
        <f t="shared" si="0"/>
        <v>3.7000000000000028</v>
      </c>
      <c r="AW17" s="804">
        <f t="shared" si="1"/>
        <v>8.2000000000000028</v>
      </c>
      <c r="AX17" s="804">
        <f t="shared" si="2"/>
        <v>14.200000000000003</v>
      </c>
      <c r="AY17" s="804">
        <f t="shared" si="3"/>
        <v>31.100000000000009</v>
      </c>
      <c r="AZ17" s="804">
        <f t="shared" si="4"/>
        <v>13.900000000000006</v>
      </c>
      <c r="BA17" s="804">
        <f t="shared" si="5"/>
        <v>8.9000000000000057</v>
      </c>
      <c r="BB17" s="804">
        <f t="shared" si="6"/>
        <v>1.6000000000000085</v>
      </c>
    </row>
    <row r="18" spans="1:54" x14ac:dyDescent="0.25">
      <c r="A18" s="1317"/>
      <c r="B18" s="1330"/>
      <c r="C18" s="1328"/>
      <c r="D18" s="1328"/>
      <c r="E18" s="650"/>
      <c r="F18" s="650"/>
      <c r="G18" s="650"/>
      <c r="H18" s="650"/>
      <c r="I18" s="650"/>
      <c r="J18" s="650"/>
      <c r="K18" s="651"/>
      <c r="L18" s="651"/>
      <c r="M18" s="651"/>
      <c r="N18" s="650"/>
      <c r="O18" s="650"/>
      <c r="P18" s="650"/>
      <c r="Q18" s="651"/>
      <c r="R18" s="650"/>
      <c r="S18" s="650"/>
      <c r="T18" s="650"/>
      <c r="U18" s="650"/>
      <c r="V18" s="650"/>
      <c r="Y18" s="1332">
        <v>5</v>
      </c>
      <c r="Z18" s="1333" t="s">
        <v>514</v>
      </c>
      <c r="AA18" s="668">
        <v>19.100000000000001</v>
      </c>
      <c r="AB18" s="668">
        <v>42.5</v>
      </c>
      <c r="AC18" s="668">
        <v>21.9</v>
      </c>
      <c r="AD18" s="668">
        <v>21.2</v>
      </c>
      <c r="AE18" s="668">
        <v>50.7</v>
      </c>
      <c r="AF18" s="668">
        <v>46.7</v>
      </c>
      <c r="AG18" s="668">
        <v>49.7</v>
      </c>
      <c r="AI18" t="s">
        <v>627</v>
      </c>
      <c r="AJ18" t="s">
        <v>628</v>
      </c>
      <c r="AK18">
        <v>26.9</v>
      </c>
      <c r="AL18">
        <v>49.5</v>
      </c>
      <c r="AM18">
        <v>35.6</v>
      </c>
      <c r="AN18">
        <v>23.5</v>
      </c>
      <c r="AO18">
        <v>53.3</v>
      </c>
      <c r="AP18">
        <v>46.7</v>
      </c>
      <c r="AQ18">
        <v>51.2</v>
      </c>
      <c r="AT18" t="s">
        <v>627</v>
      </c>
      <c r="AU18" t="s">
        <v>628</v>
      </c>
      <c r="AV18" s="804">
        <f t="shared" si="0"/>
        <v>-7.7999999999999972</v>
      </c>
      <c r="AW18" s="804">
        <f t="shared" si="1"/>
        <v>-7</v>
      </c>
      <c r="AX18" s="804">
        <f t="shared" si="2"/>
        <v>-13.700000000000003</v>
      </c>
      <c r="AY18" s="804">
        <f t="shared" si="3"/>
        <v>-2.3000000000000007</v>
      </c>
      <c r="AZ18" s="804">
        <f t="shared" si="4"/>
        <v>-2.5999999999999943</v>
      </c>
      <c r="BA18" s="804">
        <f t="shared" si="5"/>
        <v>0</v>
      </c>
      <c r="BB18" s="804">
        <f t="shared" si="6"/>
        <v>-1.5</v>
      </c>
    </row>
    <row r="19" spans="1:54" x14ac:dyDescent="0.25">
      <c r="A19" s="1338" t="s">
        <v>606</v>
      </c>
      <c r="B19" s="1339"/>
      <c r="C19" s="651"/>
      <c r="D19" s="651"/>
      <c r="E19" s="651">
        <v>1</v>
      </c>
      <c r="F19" s="651">
        <v>2</v>
      </c>
      <c r="G19" s="651"/>
      <c r="H19" s="651">
        <v>1</v>
      </c>
      <c r="I19" s="651">
        <v>2</v>
      </c>
      <c r="J19" s="651"/>
      <c r="K19" s="651">
        <v>1</v>
      </c>
      <c r="L19" s="651">
        <v>2</v>
      </c>
      <c r="M19" s="651"/>
      <c r="N19" s="651">
        <v>2</v>
      </c>
      <c r="O19" s="651">
        <v>3.4</v>
      </c>
      <c r="P19" s="651"/>
      <c r="Q19" s="651">
        <v>3</v>
      </c>
      <c r="R19" s="651">
        <v>4</v>
      </c>
      <c r="S19" s="651">
        <v>5.2</v>
      </c>
      <c r="T19" s="651"/>
      <c r="U19" s="651">
        <v>3.4</v>
      </c>
      <c r="V19" s="651">
        <v>5</v>
      </c>
      <c r="Y19" s="1332">
        <v>6</v>
      </c>
      <c r="Z19" s="1333" t="s">
        <v>515</v>
      </c>
      <c r="AA19" s="668">
        <v>5.3</v>
      </c>
      <c r="AB19" s="668">
        <v>10.5</v>
      </c>
      <c r="AC19" s="668">
        <v>2.5</v>
      </c>
      <c r="AD19" s="668">
        <v>3.1</v>
      </c>
      <c r="AE19" s="668">
        <v>5.3</v>
      </c>
      <c r="AF19" s="668">
        <v>7.1</v>
      </c>
      <c r="AG19" s="668">
        <v>7.2</v>
      </c>
      <c r="AI19" t="s">
        <v>629</v>
      </c>
      <c r="AJ19" t="s">
        <v>515</v>
      </c>
      <c r="AK19">
        <v>5.5</v>
      </c>
      <c r="AL19">
        <v>7.1</v>
      </c>
      <c r="AM19">
        <v>1.3</v>
      </c>
      <c r="AN19">
        <v>4.2</v>
      </c>
      <c r="AO19">
        <v>5.4</v>
      </c>
      <c r="AP19">
        <v>5.9</v>
      </c>
      <c r="AQ19">
        <v>6.6</v>
      </c>
      <c r="AT19" t="s">
        <v>629</v>
      </c>
      <c r="AU19" t="s">
        <v>515</v>
      </c>
      <c r="AV19" s="804">
        <f t="shared" si="0"/>
        <v>-0.20000000000000018</v>
      </c>
      <c r="AW19" s="804">
        <f t="shared" si="1"/>
        <v>3.4000000000000004</v>
      </c>
      <c r="AX19" s="804">
        <f t="shared" si="2"/>
        <v>1.2</v>
      </c>
      <c r="AY19" s="804">
        <f t="shared" si="3"/>
        <v>-1.1000000000000001</v>
      </c>
      <c r="AZ19" s="804">
        <f t="shared" si="4"/>
        <v>-0.10000000000000053</v>
      </c>
      <c r="BA19" s="804">
        <f t="shared" si="5"/>
        <v>1.1999999999999993</v>
      </c>
      <c r="BB19" s="804">
        <f t="shared" si="6"/>
        <v>0.60000000000000053</v>
      </c>
    </row>
    <row r="20" spans="1:54" x14ac:dyDescent="0.25">
      <c r="A20" s="1305"/>
      <c r="B20" s="1305"/>
      <c r="C20" s="1306"/>
      <c r="D20" s="1306"/>
      <c r="E20" s="1307"/>
      <c r="F20" s="1307"/>
      <c r="G20" s="1307"/>
      <c r="H20" s="1307"/>
      <c r="I20" s="1307"/>
      <c r="J20" s="1307"/>
      <c r="K20" s="1307"/>
      <c r="L20" s="1307"/>
      <c r="M20" s="1307"/>
      <c r="N20" s="1307"/>
      <c r="O20" s="1307"/>
      <c r="P20" s="1307"/>
      <c r="Q20" s="1307"/>
      <c r="R20" s="1307"/>
      <c r="S20" s="1307"/>
      <c r="T20" s="1307"/>
      <c r="U20" s="1307"/>
      <c r="V20" s="1307"/>
      <c r="Y20" s="1332">
        <v>7</v>
      </c>
      <c r="Z20" s="1333" t="s">
        <v>516</v>
      </c>
      <c r="AA20" s="668">
        <v>45.2</v>
      </c>
      <c r="AB20" s="668">
        <v>101</v>
      </c>
      <c r="AC20" s="668">
        <v>38.6</v>
      </c>
      <c r="AD20" s="668">
        <v>43.1</v>
      </c>
      <c r="AE20" s="668">
        <v>100.6</v>
      </c>
      <c r="AF20" s="668">
        <v>115.8</v>
      </c>
      <c r="AG20" s="668">
        <v>106.6</v>
      </c>
      <c r="AI20" t="s">
        <v>630</v>
      </c>
      <c r="AJ20" t="s">
        <v>516</v>
      </c>
      <c r="AK20">
        <v>45.3</v>
      </c>
      <c r="AL20">
        <v>97.7</v>
      </c>
      <c r="AM20">
        <v>44.7</v>
      </c>
      <c r="AN20">
        <v>40.4</v>
      </c>
      <c r="AO20">
        <v>93.8</v>
      </c>
      <c r="AP20">
        <v>118.4</v>
      </c>
      <c r="AQ20">
        <v>93.6</v>
      </c>
      <c r="AT20" t="s">
        <v>630</v>
      </c>
      <c r="AU20" t="s">
        <v>516</v>
      </c>
      <c r="AV20" s="804">
        <f t="shared" si="0"/>
        <v>-9.9999999999994316E-2</v>
      </c>
      <c r="AW20" s="804">
        <f t="shared" si="1"/>
        <v>3.2999999999999972</v>
      </c>
      <c r="AX20" s="804">
        <f t="shared" si="2"/>
        <v>-6.1000000000000014</v>
      </c>
      <c r="AY20" s="804">
        <f t="shared" si="3"/>
        <v>2.7000000000000028</v>
      </c>
      <c r="AZ20" s="804">
        <f t="shared" si="4"/>
        <v>6.7999999999999972</v>
      </c>
      <c r="BA20" s="804">
        <f t="shared" si="5"/>
        <v>-2.6000000000000085</v>
      </c>
      <c r="BB20" s="804">
        <f t="shared" si="6"/>
        <v>13</v>
      </c>
    </row>
    <row r="21" spans="1:54" x14ac:dyDescent="0.25">
      <c r="A21" s="1317"/>
      <c r="B21" s="1330"/>
      <c r="C21" s="1328"/>
      <c r="D21" s="1328"/>
      <c r="E21" s="650"/>
      <c r="F21" s="650"/>
      <c r="G21" s="650"/>
      <c r="H21" s="650"/>
      <c r="I21" s="650"/>
      <c r="J21" s="650"/>
      <c r="K21" s="650"/>
      <c r="L21" s="650"/>
      <c r="M21" s="650"/>
      <c r="N21" s="650"/>
      <c r="O21" s="650"/>
      <c r="P21" s="650"/>
      <c r="Q21" s="650"/>
      <c r="R21" s="650"/>
      <c r="S21" s="650"/>
      <c r="T21" s="650"/>
      <c r="U21" s="650"/>
      <c r="V21" s="650"/>
      <c r="Y21" s="1332">
        <v>8</v>
      </c>
      <c r="Z21" s="1333" t="s">
        <v>517</v>
      </c>
      <c r="AA21" s="668">
        <v>13.6</v>
      </c>
      <c r="AB21" s="668">
        <v>23.8</v>
      </c>
      <c r="AC21" s="668">
        <v>15.5</v>
      </c>
      <c r="AD21" s="668">
        <v>17.8</v>
      </c>
      <c r="AE21" s="668">
        <v>25.6</v>
      </c>
      <c r="AF21" s="668">
        <v>25.7</v>
      </c>
      <c r="AG21" s="668">
        <v>27</v>
      </c>
      <c r="AI21" t="s">
        <v>631</v>
      </c>
      <c r="AJ21" t="s">
        <v>517</v>
      </c>
      <c r="AK21">
        <v>11.6</v>
      </c>
      <c r="AL21">
        <v>19.600000000000001</v>
      </c>
      <c r="AM21">
        <v>14.8</v>
      </c>
      <c r="AN21">
        <v>15.5</v>
      </c>
      <c r="AO21">
        <v>21.3</v>
      </c>
      <c r="AP21">
        <v>22.6</v>
      </c>
      <c r="AQ21">
        <v>23.8</v>
      </c>
      <c r="AT21" t="s">
        <v>631</v>
      </c>
      <c r="AU21" t="s">
        <v>517</v>
      </c>
      <c r="AV21" s="804">
        <f t="shared" si="0"/>
        <v>2</v>
      </c>
      <c r="AW21" s="804">
        <f t="shared" si="1"/>
        <v>4.1999999999999993</v>
      </c>
      <c r="AX21" s="804">
        <f t="shared" si="2"/>
        <v>0.69999999999999929</v>
      </c>
      <c r="AY21" s="804">
        <f t="shared" si="3"/>
        <v>2.3000000000000007</v>
      </c>
      <c r="AZ21" s="804">
        <f t="shared" si="4"/>
        <v>4.3000000000000007</v>
      </c>
      <c r="BA21" s="804">
        <f t="shared" si="5"/>
        <v>3.0999999999999979</v>
      </c>
      <c r="BB21" s="804">
        <f t="shared" si="6"/>
        <v>3.1999999999999993</v>
      </c>
    </row>
    <row r="22" spans="1:54" x14ac:dyDescent="0.25">
      <c r="A22" s="1340" t="s">
        <v>607</v>
      </c>
      <c r="B22" s="1341"/>
      <c r="C22" s="1342"/>
      <c r="D22" s="1342"/>
      <c r="E22" s="1343"/>
      <c r="F22" s="1772" t="s">
        <v>608</v>
      </c>
      <c r="G22" s="1772"/>
      <c r="H22" s="1772"/>
      <c r="I22" s="1772"/>
      <c r="J22" s="1772"/>
      <c r="K22" s="1772"/>
      <c r="L22" s="1772"/>
      <c r="M22" s="1772"/>
      <c r="N22" s="1772"/>
      <c r="O22" s="1772"/>
      <c r="P22" s="1772"/>
      <c r="Q22" s="1772"/>
      <c r="R22" s="1772"/>
      <c r="S22" s="1772"/>
      <c r="T22" s="1772"/>
      <c r="U22" s="1772"/>
      <c r="V22" s="1344"/>
      <c r="Y22" s="1332">
        <v>9</v>
      </c>
      <c r="Z22" s="1333" t="s">
        <v>518</v>
      </c>
      <c r="AA22" s="668">
        <v>33.700000000000003</v>
      </c>
      <c r="AB22" s="668">
        <v>87.4</v>
      </c>
      <c r="AC22" s="668">
        <v>37.700000000000003</v>
      </c>
      <c r="AD22" s="668">
        <v>42.1</v>
      </c>
      <c r="AE22" s="668">
        <v>80.400000000000006</v>
      </c>
      <c r="AF22" s="668">
        <v>103.2</v>
      </c>
      <c r="AG22" s="668">
        <v>83.2</v>
      </c>
      <c r="AI22" t="s">
        <v>632</v>
      </c>
      <c r="AJ22" t="s">
        <v>569</v>
      </c>
      <c r="AK22">
        <v>41.5</v>
      </c>
      <c r="AL22">
        <v>86.8</v>
      </c>
      <c r="AM22">
        <v>38.4</v>
      </c>
      <c r="AN22">
        <v>48.6</v>
      </c>
      <c r="AO22">
        <v>67.8</v>
      </c>
      <c r="AP22">
        <v>104.7</v>
      </c>
      <c r="AQ22">
        <v>91.6</v>
      </c>
      <c r="AT22" t="s">
        <v>632</v>
      </c>
      <c r="AU22" t="s">
        <v>569</v>
      </c>
      <c r="AV22" s="804">
        <f t="shared" si="0"/>
        <v>-7.7999999999999972</v>
      </c>
      <c r="AW22" s="804">
        <f t="shared" si="1"/>
        <v>0.60000000000000853</v>
      </c>
      <c r="AX22" s="804">
        <f t="shared" si="2"/>
        <v>-0.69999999999999574</v>
      </c>
      <c r="AY22" s="804">
        <f t="shared" si="3"/>
        <v>-6.5</v>
      </c>
      <c r="AZ22" s="804">
        <f t="shared" si="4"/>
        <v>12.600000000000009</v>
      </c>
      <c r="BA22" s="804">
        <f t="shared" si="5"/>
        <v>-1.5</v>
      </c>
      <c r="BB22" s="804">
        <f t="shared" si="6"/>
        <v>-8.3999999999999915</v>
      </c>
    </row>
    <row r="23" spans="1:54" x14ac:dyDescent="0.25">
      <c r="A23" s="1305"/>
      <c r="B23" s="1306"/>
      <c r="C23" s="1306"/>
      <c r="D23" s="1306"/>
      <c r="E23" s="1307"/>
      <c r="F23" s="1307"/>
      <c r="G23" s="1307"/>
      <c r="H23" s="1307"/>
      <c r="I23" s="1307"/>
      <c r="J23" s="1307"/>
      <c r="K23" s="1307"/>
      <c r="L23" s="1307"/>
      <c r="M23" s="1307"/>
      <c r="N23" s="1307"/>
      <c r="O23" s="1307"/>
      <c r="P23" s="1307"/>
      <c r="Q23" s="1307"/>
      <c r="R23" s="1307"/>
      <c r="S23" s="1307"/>
      <c r="T23" s="1307"/>
      <c r="U23" s="1307"/>
      <c r="V23" s="1307"/>
      <c r="Y23" s="1332">
        <v>10</v>
      </c>
      <c r="Z23" s="1333" t="s">
        <v>519</v>
      </c>
      <c r="AA23" s="668" t="s">
        <v>638</v>
      </c>
      <c r="AB23" s="668">
        <v>2.7</v>
      </c>
      <c r="AC23" s="668" t="s">
        <v>639</v>
      </c>
      <c r="AD23" s="668" t="s">
        <v>640</v>
      </c>
      <c r="AE23" s="668">
        <v>5.3</v>
      </c>
      <c r="AF23" s="668">
        <v>13.6</v>
      </c>
      <c r="AG23" s="668">
        <v>17.3</v>
      </c>
      <c r="AI23" t="s">
        <v>633</v>
      </c>
      <c r="AJ23" t="s">
        <v>519</v>
      </c>
      <c r="AK23">
        <v>6.1</v>
      </c>
      <c r="AL23">
        <v>5.5</v>
      </c>
      <c r="AM23">
        <v>8.8000000000000007</v>
      </c>
      <c r="AN23">
        <v>8.1999999999999993</v>
      </c>
      <c r="AO23">
        <v>14.2</v>
      </c>
      <c r="AP23">
        <v>15.9</v>
      </c>
      <c r="AQ23">
        <v>23.6</v>
      </c>
      <c r="AT23" t="s">
        <v>633</v>
      </c>
      <c r="AU23" t="s">
        <v>519</v>
      </c>
      <c r="AV23" s="804"/>
      <c r="AW23" s="804">
        <f>AB23-AL23</f>
        <v>-2.8</v>
      </c>
      <c r="AX23" s="804"/>
      <c r="AY23" s="804"/>
      <c r="AZ23" s="804">
        <f t="shared" ref="AZ23:BB25" si="7">AE23-AO23</f>
        <v>-8.8999999999999986</v>
      </c>
      <c r="BA23" s="804">
        <f t="shared" si="7"/>
        <v>-2.3000000000000007</v>
      </c>
      <c r="BB23" s="804">
        <f t="shared" si="7"/>
        <v>-6.3000000000000007</v>
      </c>
    </row>
    <row r="24" spans="1:54" x14ac:dyDescent="0.25">
      <c r="A24" s="1310"/>
      <c r="B24" s="1310"/>
      <c r="C24" s="1345"/>
      <c r="D24" s="1345"/>
      <c r="E24" s="1346"/>
      <c r="F24" s="1346"/>
      <c r="G24" s="1346"/>
      <c r="H24" s="1346"/>
      <c r="I24" s="1346"/>
      <c r="J24" s="1346"/>
      <c r="K24" s="1346"/>
      <c r="L24" s="1346"/>
      <c r="M24" s="1346"/>
      <c r="N24" s="1346"/>
      <c r="O24" s="1346"/>
      <c r="P24" s="1346"/>
      <c r="Q24" s="1346"/>
      <c r="R24" s="1346"/>
      <c r="S24" s="1346"/>
      <c r="T24" s="1346"/>
      <c r="U24" s="1346"/>
      <c r="V24" s="1346"/>
      <c r="Y24" s="1332">
        <v>11</v>
      </c>
      <c r="Z24" s="1333" t="s">
        <v>521</v>
      </c>
      <c r="AA24" s="668">
        <v>27.1</v>
      </c>
      <c r="AB24" s="668">
        <v>63.3</v>
      </c>
      <c r="AC24" s="668">
        <v>21.7</v>
      </c>
      <c r="AD24" s="668">
        <v>31.7</v>
      </c>
      <c r="AE24" s="668">
        <v>61.6</v>
      </c>
      <c r="AF24" s="668">
        <v>74.3</v>
      </c>
      <c r="AG24" s="668">
        <v>61</v>
      </c>
      <c r="AI24" t="s">
        <v>634</v>
      </c>
      <c r="AJ24" t="s">
        <v>574</v>
      </c>
      <c r="AK24">
        <v>27.7</v>
      </c>
      <c r="AL24">
        <v>63.6</v>
      </c>
      <c r="AM24">
        <v>25.6</v>
      </c>
      <c r="AN24">
        <v>27.7</v>
      </c>
      <c r="AO24">
        <v>52.4</v>
      </c>
      <c r="AP24">
        <v>65.7</v>
      </c>
      <c r="AQ24">
        <v>62.7</v>
      </c>
      <c r="AT24" t="s">
        <v>634</v>
      </c>
      <c r="AU24" t="s">
        <v>574</v>
      </c>
      <c r="AV24" s="804">
        <f>AA24-AK24</f>
        <v>-0.59999999999999787</v>
      </c>
      <c r="AW24" s="804">
        <f>AB24-AL24</f>
        <v>-0.30000000000000426</v>
      </c>
      <c r="AX24" s="804">
        <f>AC24-AM24</f>
        <v>-3.9000000000000021</v>
      </c>
      <c r="AY24" s="804">
        <f>AD24-AN24</f>
        <v>4</v>
      </c>
      <c r="AZ24" s="804">
        <f t="shared" si="7"/>
        <v>9.2000000000000028</v>
      </c>
      <c r="BA24" s="804">
        <f t="shared" si="7"/>
        <v>8.5999999999999943</v>
      </c>
      <c r="BB24" s="804">
        <f t="shared" si="7"/>
        <v>-1.7000000000000028</v>
      </c>
    </row>
    <row r="25" spans="1:54" x14ac:dyDescent="0.25">
      <c r="A25" s="1332">
        <v>1</v>
      </c>
      <c r="B25" s="1333" t="s">
        <v>510</v>
      </c>
      <c r="C25" s="1347"/>
      <c r="D25" s="1347"/>
      <c r="E25" s="668">
        <v>34</v>
      </c>
      <c r="F25" s="668">
        <v>64.400000000000006</v>
      </c>
      <c r="G25" s="668"/>
      <c r="H25" s="668">
        <v>34.4</v>
      </c>
      <c r="I25" s="668">
        <v>67.5</v>
      </c>
      <c r="J25" s="668"/>
      <c r="K25" s="668">
        <v>32.5</v>
      </c>
      <c r="L25" s="668">
        <v>63.5</v>
      </c>
      <c r="M25" s="668"/>
      <c r="N25" s="668">
        <v>41.1</v>
      </c>
      <c r="O25" s="668">
        <v>55</v>
      </c>
      <c r="P25" s="668"/>
      <c r="Q25" s="668">
        <v>71.7</v>
      </c>
      <c r="R25" s="668">
        <v>88.2</v>
      </c>
      <c r="S25" s="668">
        <v>103.9</v>
      </c>
      <c r="T25" s="668"/>
      <c r="U25" s="668">
        <v>97.9</v>
      </c>
      <c r="V25" s="668">
        <v>105.4</v>
      </c>
      <c r="Y25" s="1332">
        <v>12</v>
      </c>
      <c r="Z25" s="1333" t="s">
        <v>522</v>
      </c>
      <c r="AA25" s="668">
        <v>27.4</v>
      </c>
      <c r="AB25" s="668">
        <v>47.5</v>
      </c>
      <c r="AC25" s="668">
        <v>29.6</v>
      </c>
      <c r="AD25" s="668">
        <v>28</v>
      </c>
      <c r="AE25" s="668">
        <v>60.8</v>
      </c>
      <c r="AF25" s="668">
        <v>64.900000000000006</v>
      </c>
      <c r="AG25" s="668">
        <v>58.9</v>
      </c>
      <c r="AI25" t="s">
        <v>635</v>
      </c>
      <c r="AJ25" t="s">
        <v>577</v>
      </c>
      <c r="AK25">
        <v>21.1</v>
      </c>
      <c r="AL25">
        <v>46.5</v>
      </c>
      <c r="AM25">
        <v>29.6</v>
      </c>
      <c r="AN25">
        <v>26</v>
      </c>
      <c r="AO25">
        <v>55.6</v>
      </c>
      <c r="AP25">
        <v>63.9</v>
      </c>
      <c r="AQ25">
        <v>48.5</v>
      </c>
      <c r="AT25" t="s">
        <v>635</v>
      </c>
      <c r="AU25" t="s">
        <v>577</v>
      </c>
      <c r="AV25" s="804">
        <f>AA25-AK25</f>
        <v>6.2999999999999972</v>
      </c>
      <c r="AW25" s="804">
        <f>AB25-AL25</f>
        <v>1</v>
      </c>
      <c r="AX25" s="804">
        <f>AC25-AM25</f>
        <v>0</v>
      </c>
      <c r="AY25" s="804">
        <f>AD25-AN25</f>
        <v>2</v>
      </c>
      <c r="AZ25" s="804">
        <f t="shared" si="7"/>
        <v>5.1999999999999957</v>
      </c>
      <c r="BA25" s="804">
        <f t="shared" si="7"/>
        <v>1.0000000000000071</v>
      </c>
      <c r="BB25" s="804">
        <f t="shared" si="7"/>
        <v>10.399999999999999</v>
      </c>
    </row>
    <row r="26" spans="1:54" x14ac:dyDescent="0.25">
      <c r="A26" s="1348"/>
      <c r="B26" s="1348"/>
      <c r="C26" s="1349"/>
      <c r="D26" s="1349"/>
      <c r="E26" s="673"/>
      <c r="F26" s="673"/>
      <c r="G26" s="673"/>
      <c r="H26" s="673"/>
      <c r="I26" s="673"/>
      <c r="J26" s="673"/>
      <c r="K26" s="673"/>
      <c r="L26" s="673"/>
      <c r="M26" s="673"/>
      <c r="N26" s="673"/>
      <c r="O26" s="673"/>
      <c r="P26" s="673"/>
      <c r="Q26" s="673"/>
      <c r="R26" s="673"/>
      <c r="S26" s="673"/>
      <c r="T26" s="673"/>
      <c r="U26" s="673"/>
      <c r="V26" s="673"/>
      <c r="Y26" s="1350"/>
      <c r="Z26" s="1348"/>
      <c r="AA26" s="1351"/>
      <c r="AB26" s="1351"/>
      <c r="AC26" s="1351"/>
      <c r="AD26" s="1351"/>
      <c r="AE26" s="1351"/>
      <c r="AF26" s="1351"/>
      <c r="AG26" s="1351"/>
    </row>
    <row r="27" spans="1:54" x14ac:dyDescent="0.25">
      <c r="A27" s="1332">
        <v>2</v>
      </c>
      <c r="B27" s="1333" t="s">
        <v>511</v>
      </c>
      <c r="C27" s="1347"/>
      <c r="D27" s="1347"/>
      <c r="E27" s="668">
        <v>6.3</v>
      </c>
      <c r="F27" s="668">
        <v>11.8</v>
      </c>
      <c r="G27" s="668"/>
      <c r="H27" s="668">
        <v>6.3</v>
      </c>
      <c r="I27" s="668">
        <v>13.4</v>
      </c>
      <c r="J27" s="668"/>
      <c r="K27" s="668">
        <v>9.1999999999999993</v>
      </c>
      <c r="L27" s="668">
        <v>15.9</v>
      </c>
      <c r="M27" s="668"/>
      <c r="N27" s="668">
        <v>7.5</v>
      </c>
      <c r="O27" s="668">
        <v>6.6</v>
      </c>
      <c r="P27" s="668"/>
      <c r="Q27" s="668">
        <v>12.4</v>
      </c>
      <c r="R27" s="668">
        <v>11.6</v>
      </c>
      <c r="S27" s="668">
        <v>10.7</v>
      </c>
      <c r="T27" s="668"/>
      <c r="U27" s="668">
        <v>24.6</v>
      </c>
      <c r="V27" s="668">
        <v>17.3</v>
      </c>
      <c r="Y27" s="1352" t="s">
        <v>584</v>
      </c>
      <c r="Z27" s="1333" t="s">
        <v>585</v>
      </c>
      <c r="AA27" s="668">
        <v>299.39999999999998</v>
      </c>
      <c r="AB27" s="668">
        <v>574.4</v>
      </c>
      <c r="AC27" s="668">
        <v>342.9</v>
      </c>
      <c r="AD27" s="668">
        <v>371</v>
      </c>
      <c r="AE27" s="668">
        <v>605.70000000000005</v>
      </c>
      <c r="AF27" s="668">
        <v>682.7</v>
      </c>
      <c r="AG27" s="668">
        <v>658.8</v>
      </c>
      <c r="AI27" t="s">
        <v>584</v>
      </c>
      <c r="AJ27" t="s">
        <v>585</v>
      </c>
      <c r="AK27">
        <v>306.39999999999998</v>
      </c>
      <c r="AL27">
        <v>561.29999999999995</v>
      </c>
      <c r="AM27">
        <v>347.1</v>
      </c>
      <c r="AN27">
        <v>346.5</v>
      </c>
      <c r="AO27">
        <v>556.4</v>
      </c>
      <c r="AP27">
        <v>672.5</v>
      </c>
      <c r="AQ27">
        <v>638.6</v>
      </c>
      <c r="AT27" t="s">
        <v>584</v>
      </c>
      <c r="AU27" t="s">
        <v>585</v>
      </c>
      <c r="AV27" s="804">
        <f t="shared" ref="AV27:BB27" si="8">AA27-AK27</f>
        <v>-7</v>
      </c>
      <c r="AW27" s="804">
        <f t="shared" si="8"/>
        <v>13.100000000000023</v>
      </c>
      <c r="AX27" s="804">
        <f t="shared" si="8"/>
        <v>-4.2000000000000455</v>
      </c>
      <c r="AY27" s="804">
        <f t="shared" si="8"/>
        <v>24.5</v>
      </c>
      <c r="AZ27" s="804">
        <f t="shared" si="8"/>
        <v>49.300000000000068</v>
      </c>
      <c r="BA27" s="804">
        <f t="shared" si="8"/>
        <v>10.200000000000045</v>
      </c>
      <c r="BB27" s="804">
        <f t="shared" si="8"/>
        <v>20.199999999999932</v>
      </c>
    </row>
    <row r="28" spans="1:54" x14ac:dyDescent="0.25">
      <c r="A28" s="1348"/>
      <c r="B28" s="1348"/>
      <c r="C28" s="1349"/>
      <c r="D28" s="1349"/>
      <c r="E28" s="673"/>
      <c r="F28" s="673"/>
      <c r="G28" s="673"/>
      <c r="H28" s="673"/>
      <c r="I28" s="673"/>
      <c r="J28" s="673"/>
      <c r="K28" s="673"/>
      <c r="L28" s="673"/>
      <c r="M28" s="673"/>
      <c r="N28" s="673"/>
      <c r="O28" s="673"/>
      <c r="P28" s="673"/>
      <c r="Q28" s="673"/>
      <c r="R28" s="673"/>
      <c r="S28" s="673"/>
      <c r="T28" s="673"/>
      <c r="U28" s="673"/>
      <c r="V28" s="673"/>
      <c r="Y28" s="1348"/>
      <c r="Z28" s="1348"/>
      <c r="AA28" s="1351"/>
      <c r="AB28" s="1351"/>
      <c r="AC28" s="1351"/>
      <c r="AD28" s="1351"/>
      <c r="AE28" s="1351"/>
      <c r="AF28" s="1351"/>
      <c r="AG28" s="1351"/>
    </row>
    <row r="29" spans="1:54" x14ac:dyDescent="0.25">
      <c r="A29" s="1332">
        <v>3</v>
      </c>
      <c r="B29" s="1337" t="s">
        <v>512</v>
      </c>
      <c r="C29" s="1347"/>
      <c r="D29" s="1347"/>
      <c r="E29" s="668">
        <v>7.9</v>
      </c>
      <c r="F29" s="668">
        <v>9.5</v>
      </c>
      <c r="G29" s="668"/>
      <c r="H29" s="668">
        <v>8</v>
      </c>
      <c r="I29" s="668">
        <v>19.100000000000001</v>
      </c>
      <c r="J29" s="668"/>
      <c r="K29" s="668">
        <v>11</v>
      </c>
      <c r="L29" s="668">
        <v>24</v>
      </c>
      <c r="M29" s="668"/>
      <c r="N29" s="668">
        <v>16.899999999999999</v>
      </c>
      <c r="O29" s="668">
        <v>23.8</v>
      </c>
      <c r="P29" s="668"/>
      <c r="Q29" s="668">
        <v>31.4</v>
      </c>
      <c r="R29" s="668">
        <v>33.5</v>
      </c>
      <c r="S29" s="668">
        <v>31.1</v>
      </c>
      <c r="T29" s="668"/>
      <c r="U29" s="668">
        <v>40.1</v>
      </c>
      <c r="V29" s="668">
        <v>55.3</v>
      </c>
      <c r="Y29" s="1332">
        <v>13</v>
      </c>
      <c r="Z29" s="1333" t="s">
        <v>580</v>
      </c>
      <c r="AA29" s="668">
        <v>57.2</v>
      </c>
      <c r="AB29" s="668">
        <v>90.1</v>
      </c>
      <c r="AC29" s="668">
        <v>39.799999999999997</v>
      </c>
      <c r="AD29" s="668">
        <v>37.1</v>
      </c>
      <c r="AE29" s="668">
        <v>102.6</v>
      </c>
      <c r="AF29" s="668">
        <v>118.5</v>
      </c>
      <c r="AG29" s="668">
        <v>113.9</v>
      </c>
      <c r="AI29" t="s">
        <v>636</v>
      </c>
      <c r="AJ29" t="s">
        <v>580</v>
      </c>
      <c r="AK29">
        <v>47.1</v>
      </c>
      <c r="AL29">
        <v>99.8</v>
      </c>
      <c r="AM29">
        <v>42.6</v>
      </c>
      <c r="AN29">
        <v>40.6</v>
      </c>
      <c r="AO29">
        <v>97.8</v>
      </c>
      <c r="AP29">
        <v>110.6</v>
      </c>
      <c r="AQ29">
        <v>103.3</v>
      </c>
      <c r="AT29" t="s">
        <v>636</v>
      </c>
      <c r="AU29" t="s">
        <v>580</v>
      </c>
      <c r="AV29" s="804">
        <f t="shared" ref="AV29:BB29" si="9">AA29-AK29</f>
        <v>10.100000000000001</v>
      </c>
      <c r="AW29" s="804">
        <f t="shared" si="9"/>
        <v>-9.7000000000000028</v>
      </c>
      <c r="AX29" s="804">
        <f t="shared" si="9"/>
        <v>-2.8000000000000043</v>
      </c>
      <c r="AY29" s="804">
        <f t="shared" si="9"/>
        <v>-3.5</v>
      </c>
      <c r="AZ29" s="804">
        <f t="shared" si="9"/>
        <v>4.7999999999999972</v>
      </c>
      <c r="BA29" s="804">
        <f t="shared" si="9"/>
        <v>7.9000000000000057</v>
      </c>
      <c r="BB29" s="804">
        <f t="shared" si="9"/>
        <v>10.600000000000009</v>
      </c>
    </row>
    <row r="30" spans="1:54" x14ac:dyDescent="0.25">
      <c r="A30" s="1348"/>
      <c r="B30" s="1348"/>
      <c r="C30" s="1349"/>
      <c r="D30" s="1349"/>
      <c r="E30" s="673"/>
      <c r="F30" s="673"/>
      <c r="G30" s="673"/>
      <c r="H30" s="673"/>
      <c r="I30" s="673"/>
      <c r="J30" s="673"/>
      <c r="K30" s="673"/>
      <c r="L30" s="673"/>
      <c r="M30" s="673"/>
      <c r="N30" s="673"/>
      <c r="O30" s="673"/>
      <c r="P30" s="673"/>
      <c r="Q30" s="673"/>
      <c r="R30" s="673"/>
      <c r="S30" s="673"/>
      <c r="T30" s="673"/>
      <c r="U30" s="673"/>
      <c r="V30" s="673"/>
      <c r="Y30" s="1353"/>
      <c r="Z30" s="1353"/>
      <c r="AA30" s="1354"/>
      <c r="AB30" s="1354"/>
      <c r="AC30" s="1354"/>
      <c r="AD30" s="1354"/>
      <c r="AE30" s="1354"/>
      <c r="AF30" s="1354"/>
      <c r="AG30" s="1354"/>
    </row>
    <row r="31" spans="1:54" x14ac:dyDescent="0.25">
      <c r="A31" s="1332">
        <v>4</v>
      </c>
      <c r="B31" s="1333" t="s">
        <v>513</v>
      </c>
      <c r="C31" s="1347"/>
      <c r="D31" s="1347"/>
      <c r="E31" s="668">
        <v>46.3</v>
      </c>
      <c r="F31" s="668">
        <v>46.9</v>
      </c>
      <c r="G31" s="668"/>
      <c r="H31" s="668">
        <v>46.4</v>
      </c>
      <c r="I31" s="668">
        <v>53</v>
      </c>
      <c r="J31" s="668"/>
      <c r="K31" s="668">
        <v>74</v>
      </c>
      <c r="L31" s="668">
        <v>92.3</v>
      </c>
      <c r="M31" s="668"/>
      <c r="N31" s="668">
        <v>99.4</v>
      </c>
      <c r="O31" s="668">
        <v>94.4</v>
      </c>
      <c r="P31" s="668"/>
      <c r="Q31" s="668">
        <v>99.9</v>
      </c>
      <c r="R31" s="668">
        <v>98</v>
      </c>
      <c r="S31" s="668">
        <v>102.2</v>
      </c>
      <c r="T31" s="668"/>
      <c r="U31" s="668">
        <v>119</v>
      </c>
      <c r="V31" s="668">
        <v>92.3</v>
      </c>
      <c r="Y31" s="1355" t="s">
        <v>526</v>
      </c>
      <c r="Z31" s="1356"/>
      <c r="AA31" s="687">
        <v>356.6</v>
      </c>
      <c r="AB31" s="687">
        <v>664.5</v>
      </c>
      <c r="AC31" s="687">
        <v>382.8</v>
      </c>
      <c r="AD31" s="687">
        <v>408.1</v>
      </c>
      <c r="AE31" s="687">
        <v>708.3</v>
      </c>
      <c r="AF31" s="687">
        <v>801.2</v>
      </c>
      <c r="AG31" s="687">
        <v>772.7</v>
      </c>
      <c r="AI31" t="s">
        <v>526</v>
      </c>
      <c r="AK31">
        <v>353.5</v>
      </c>
      <c r="AL31">
        <v>661.1</v>
      </c>
      <c r="AM31">
        <v>389.7</v>
      </c>
      <c r="AN31">
        <v>387</v>
      </c>
      <c r="AO31">
        <v>654.20000000000005</v>
      </c>
      <c r="AP31">
        <v>783.1</v>
      </c>
      <c r="AQ31">
        <v>741.9</v>
      </c>
      <c r="AT31" t="s">
        <v>526</v>
      </c>
      <c r="AV31" s="804">
        <f t="shared" ref="AV31:BB31" si="10">AA31-AK31</f>
        <v>3.1000000000000227</v>
      </c>
      <c r="AW31" s="804">
        <f t="shared" si="10"/>
        <v>3.3999999999999773</v>
      </c>
      <c r="AX31" s="804">
        <f t="shared" si="10"/>
        <v>-6.8999999999999773</v>
      </c>
      <c r="AY31" s="804">
        <f t="shared" si="10"/>
        <v>21.100000000000023</v>
      </c>
      <c r="AZ31" s="804">
        <f t="shared" si="10"/>
        <v>54.099999999999909</v>
      </c>
      <c r="BA31" s="804">
        <f t="shared" si="10"/>
        <v>18.100000000000023</v>
      </c>
      <c r="BB31" s="804">
        <f t="shared" si="10"/>
        <v>30.800000000000068</v>
      </c>
    </row>
    <row r="32" spans="1:54" x14ac:dyDescent="0.25">
      <c r="A32" s="1348"/>
      <c r="B32" s="1348"/>
      <c r="C32" s="1349"/>
      <c r="D32" s="1349"/>
      <c r="E32" s="673"/>
      <c r="F32" s="673"/>
      <c r="G32" s="673"/>
      <c r="H32" s="673"/>
      <c r="I32" s="673"/>
      <c r="J32" s="673"/>
      <c r="K32" s="673"/>
      <c r="L32" s="673"/>
      <c r="M32" s="673"/>
      <c r="N32" s="673"/>
      <c r="O32" s="673"/>
      <c r="P32" s="673"/>
      <c r="Q32" s="673"/>
      <c r="R32" s="673"/>
      <c r="S32" s="673"/>
      <c r="T32" s="673"/>
      <c r="U32" s="673"/>
      <c r="V32" s="673"/>
      <c r="AA32" s="692"/>
      <c r="AB32" s="692"/>
      <c r="AC32" s="692"/>
      <c r="AD32" s="692"/>
      <c r="AE32" s="692"/>
      <c r="AF32" s="692"/>
      <c r="AG32" s="692"/>
    </row>
    <row r="33" spans="1:22" x14ac:dyDescent="0.25">
      <c r="A33" s="1332">
        <v>5</v>
      </c>
      <c r="B33" s="1333" t="s">
        <v>514</v>
      </c>
      <c r="C33" s="1347"/>
      <c r="D33" s="1347"/>
      <c r="E33" s="668">
        <v>13.7</v>
      </c>
      <c r="F33" s="668">
        <v>33.200000000000003</v>
      </c>
      <c r="G33" s="668"/>
      <c r="H33" s="668">
        <v>16.899999999999999</v>
      </c>
      <c r="I33" s="668">
        <v>39.700000000000003</v>
      </c>
      <c r="J33" s="668"/>
      <c r="K33" s="668">
        <v>19.100000000000001</v>
      </c>
      <c r="L33" s="668">
        <v>42.5</v>
      </c>
      <c r="M33" s="668"/>
      <c r="N33" s="668">
        <v>21.9</v>
      </c>
      <c r="O33" s="668">
        <v>21.2</v>
      </c>
      <c r="P33" s="668"/>
      <c r="Q33" s="668">
        <v>50.7</v>
      </c>
      <c r="R33" s="668">
        <v>46.7</v>
      </c>
      <c r="S33" s="668">
        <v>49.7</v>
      </c>
      <c r="T33" s="668"/>
      <c r="U33" s="668">
        <v>51.7</v>
      </c>
      <c r="V33" s="668">
        <v>48.7</v>
      </c>
    </row>
    <row r="34" spans="1:22" x14ac:dyDescent="0.25">
      <c r="A34" s="1348"/>
      <c r="B34" s="1348"/>
      <c r="C34" s="1349"/>
      <c r="D34" s="1349"/>
      <c r="E34" s="673"/>
      <c r="F34" s="673"/>
      <c r="G34" s="673"/>
      <c r="H34" s="673"/>
      <c r="I34" s="673"/>
      <c r="J34" s="673"/>
      <c r="K34" s="673"/>
      <c r="L34" s="673"/>
      <c r="M34" s="673"/>
      <c r="N34" s="673"/>
      <c r="O34" s="673"/>
      <c r="P34" s="673"/>
      <c r="Q34" s="673"/>
      <c r="R34" s="673"/>
      <c r="S34" s="673"/>
      <c r="T34" s="673"/>
      <c r="U34" s="673"/>
      <c r="V34" s="673"/>
    </row>
    <row r="35" spans="1:22" x14ac:dyDescent="0.25">
      <c r="A35" s="1332">
        <v>6</v>
      </c>
      <c r="B35" s="1333" t="s">
        <v>515</v>
      </c>
      <c r="C35" s="1347"/>
      <c r="D35" s="1347"/>
      <c r="E35" s="668">
        <v>3.1</v>
      </c>
      <c r="F35" s="668">
        <v>7.5</v>
      </c>
      <c r="G35" s="668"/>
      <c r="H35" s="668">
        <v>9.3000000000000007</v>
      </c>
      <c r="I35" s="668">
        <v>12.2</v>
      </c>
      <c r="J35" s="668"/>
      <c r="K35" s="668">
        <v>5.3</v>
      </c>
      <c r="L35" s="668">
        <v>10.5</v>
      </c>
      <c r="M35" s="668"/>
      <c r="N35" s="668">
        <v>2.5</v>
      </c>
      <c r="O35" s="668">
        <v>3.1</v>
      </c>
      <c r="P35" s="668"/>
      <c r="Q35" s="668">
        <v>5.3</v>
      </c>
      <c r="R35" s="668">
        <v>7.1</v>
      </c>
      <c r="S35" s="668">
        <v>7.2</v>
      </c>
      <c r="T35" s="668"/>
      <c r="U35" s="668">
        <v>11</v>
      </c>
      <c r="V35" s="668">
        <v>6.2</v>
      </c>
    </row>
    <row r="36" spans="1:22" x14ac:dyDescent="0.25">
      <c r="A36" s="1348"/>
      <c r="B36" s="1348"/>
      <c r="C36" s="1349"/>
      <c r="D36" s="1349"/>
      <c r="E36" s="673"/>
      <c r="F36" s="673"/>
      <c r="G36" s="673"/>
      <c r="H36" s="673"/>
      <c r="I36" s="673"/>
      <c r="J36" s="673"/>
      <c r="K36" s="673"/>
      <c r="L36" s="673"/>
      <c r="M36" s="673"/>
      <c r="N36" s="673"/>
      <c r="O36" s="673"/>
      <c r="P36" s="673"/>
      <c r="Q36" s="673"/>
      <c r="R36" s="673"/>
      <c r="S36" s="673"/>
      <c r="T36" s="673"/>
      <c r="U36" s="673"/>
      <c r="V36" s="673"/>
    </row>
    <row r="37" spans="1:22" x14ac:dyDescent="0.25">
      <c r="A37" s="1332">
        <v>7</v>
      </c>
      <c r="B37" s="1333" t="s">
        <v>516</v>
      </c>
      <c r="C37" s="1347"/>
      <c r="D37" s="1347"/>
      <c r="E37" s="668">
        <v>17.7</v>
      </c>
      <c r="F37" s="668">
        <v>41.7</v>
      </c>
      <c r="G37" s="668"/>
      <c r="H37" s="668">
        <v>25</v>
      </c>
      <c r="I37" s="668">
        <v>63.2</v>
      </c>
      <c r="J37" s="668"/>
      <c r="K37" s="668">
        <v>45.2</v>
      </c>
      <c r="L37" s="668">
        <v>101</v>
      </c>
      <c r="M37" s="668"/>
      <c r="N37" s="668">
        <v>38.6</v>
      </c>
      <c r="O37" s="668">
        <v>43.1</v>
      </c>
      <c r="P37" s="668"/>
      <c r="Q37" s="668">
        <v>100.6</v>
      </c>
      <c r="R37" s="668">
        <v>115.8</v>
      </c>
      <c r="S37" s="668">
        <v>106.6</v>
      </c>
      <c r="T37" s="668"/>
      <c r="U37" s="668">
        <v>137.19999999999999</v>
      </c>
      <c r="V37" s="668">
        <v>146.4</v>
      </c>
    </row>
    <row r="38" spans="1:22" x14ac:dyDescent="0.25">
      <c r="A38" s="1348"/>
      <c r="B38" s="1348"/>
      <c r="C38" s="1349"/>
      <c r="D38" s="1349"/>
      <c r="E38" s="673"/>
      <c r="F38" s="673"/>
      <c r="G38" s="673"/>
      <c r="H38" s="673"/>
      <c r="I38" s="673"/>
      <c r="J38" s="673"/>
      <c r="K38" s="673"/>
      <c r="L38" s="673"/>
      <c r="M38" s="673"/>
      <c r="N38" s="673"/>
      <c r="O38" s="673"/>
      <c r="P38" s="673"/>
      <c r="Q38" s="673"/>
      <c r="R38" s="673"/>
      <c r="S38" s="673"/>
      <c r="T38" s="673"/>
      <c r="U38" s="673"/>
      <c r="V38" s="673"/>
    </row>
    <row r="39" spans="1:22" x14ac:dyDescent="0.25">
      <c r="A39" s="1332">
        <v>8</v>
      </c>
      <c r="B39" s="1333" t="s">
        <v>517</v>
      </c>
      <c r="C39" s="1347"/>
      <c r="D39" s="1347"/>
      <c r="E39" s="668">
        <v>10.9</v>
      </c>
      <c r="F39" s="668">
        <v>16.8</v>
      </c>
      <c r="G39" s="668"/>
      <c r="H39" s="668">
        <v>12.5</v>
      </c>
      <c r="I39" s="668">
        <v>18.7</v>
      </c>
      <c r="J39" s="668"/>
      <c r="K39" s="668">
        <v>13.6</v>
      </c>
      <c r="L39" s="668">
        <v>23.8</v>
      </c>
      <c r="M39" s="668"/>
      <c r="N39" s="668">
        <v>15.5</v>
      </c>
      <c r="O39" s="668">
        <v>17.8</v>
      </c>
      <c r="P39" s="668"/>
      <c r="Q39" s="668">
        <v>25.6</v>
      </c>
      <c r="R39" s="668">
        <v>25.7</v>
      </c>
      <c r="S39" s="668">
        <v>27</v>
      </c>
      <c r="T39" s="668"/>
      <c r="U39" s="668">
        <v>31.1</v>
      </c>
      <c r="V39" s="668">
        <v>36.4</v>
      </c>
    </row>
    <row r="40" spans="1:22" x14ac:dyDescent="0.25">
      <c r="A40" s="1348"/>
      <c r="B40" s="1348"/>
      <c r="C40" s="1349"/>
      <c r="D40" s="1349"/>
      <c r="E40" s="673"/>
      <c r="F40" s="673"/>
      <c r="G40" s="673"/>
      <c r="H40" s="673"/>
      <c r="I40" s="673"/>
      <c r="J40" s="673"/>
      <c r="K40" s="673"/>
      <c r="L40" s="673"/>
      <c r="M40" s="673"/>
      <c r="N40" s="673"/>
      <c r="O40" s="673"/>
      <c r="P40" s="673"/>
      <c r="Q40" s="673"/>
      <c r="R40" s="673"/>
      <c r="S40" s="673"/>
      <c r="T40" s="673"/>
      <c r="U40" s="673"/>
      <c r="V40" s="673"/>
    </row>
    <row r="41" spans="1:22" x14ac:dyDescent="0.25">
      <c r="A41" s="1332">
        <v>9</v>
      </c>
      <c r="B41" s="1333" t="s">
        <v>518</v>
      </c>
      <c r="C41" s="1347"/>
      <c r="D41" s="1347"/>
      <c r="E41" s="668">
        <v>31.3</v>
      </c>
      <c r="F41" s="668">
        <v>58.3</v>
      </c>
      <c r="G41" s="668"/>
      <c r="H41" s="668">
        <v>42.5</v>
      </c>
      <c r="I41" s="668">
        <v>99.7</v>
      </c>
      <c r="J41" s="668"/>
      <c r="K41" s="668">
        <v>33.700000000000003</v>
      </c>
      <c r="L41" s="668">
        <v>87.4</v>
      </c>
      <c r="M41" s="668"/>
      <c r="N41" s="668">
        <v>37.700000000000003</v>
      </c>
      <c r="O41" s="668">
        <v>42.1</v>
      </c>
      <c r="P41" s="668"/>
      <c r="Q41" s="668">
        <v>80.400000000000006</v>
      </c>
      <c r="R41" s="668">
        <v>103.2</v>
      </c>
      <c r="S41" s="668">
        <v>83.2</v>
      </c>
      <c r="T41" s="668"/>
      <c r="U41" s="668">
        <v>108.9</v>
      </c>
      <c r="V41" s="668">
        <v>97.5</v>
      </c>
    </row>
    <row r="42" spans="1:22" x14ac:dyDescent="0.25">
      <c r="A42" s="1348"/>
      <c r="B42" s="1348"/>
      <c r="C42" s="1349"/>
      <c r="D42" s="1349"/>
      <c r="E42" s="673"/>
      <c r="F42" s="673"/>
      <c r="G42" s="673"/>
      <c r="H42" s="673"/>
      <c r="I42" s="673"/>
      <c r="J42" s="673"/>
      <c r="K42" s="673"/>
      <c r="L42" s="673"/>
      <c r="M42" s="673"/>
      <c r="N42" s="673"/>
      <c r="O42" s="673"/>
      <c r="P42" s="673"/>
      <c r="Q42" s="673"/>
      <c r="R42" s="673"/>
      <c r="S42" s="673"/>
      <c r="T42" s="673"/>
      <c r="U42" s="673"/>
      <c r="V42" s="673"/>
    </row>
    <row r="43" spans="1:22" x14ac:dyDescent="0.25">
      <c r="A43" s="1332">
        <v>10</v>
      </c>
      <c r="B43" s="1333" t="s">
        <v>519</v>
      </c>
      <c r="C43" s="1347"/>
      <c r="D43" s="1347"/>
      <c r="E43" s="668" t="s">
        <v>610</v>
      </c>
      <c r="F43" s="668" t="s">
        <v>637</v>
      </c>
      <c r="G43" s="668"/>
      <c r="H43" s="668" t="s">
        <v>610</v>
      </c>
      <c r="I43" s="668" t="s">
        <v>610</v>
      </c>
      <c r="J43" s="668"/>
      <c r="K43" s="668" t="s">
        <v>638</v>
      </c>
      <c r="L43" s="668">
        <v>2.7</v>
      </c>
      <c r="M43" s="668"/>
      <c r="N43" s="668" t="s">
        <v>639</v>
      </c>
      <c r="O43" s="668" t="s">
        <v>640</v>
      </c>
      <c r="P43" s="668"/>
      <c r="Q43" s="668">
        <v>5.3</v>
      </c>
      <c r="R43" s="668">
        <v>13.6</v>
      </c>
      <c r="S43" s="668">
        <v>17.3</v>
      </c>
      <c r="T43" s="668"/>
      <c r="U43" s="668">
        <v>6.7</v>
      </c>
      <c r="V43" s="668">
        <v>11.1</v>
      </c>
    </row>
    <row r="44" spans="1:22" x14ac:dyDescent="0.25">
      <c r="A44" s="1348"/>
      <c r="B44" s="1348"/>
      <c r="C44" s="1349"/>
      <c r="D44" s="1349"/>
      <c r="E44" s="673"/>
      <c r="F44" s="673"/>
      <c r="G44" s="673"/>
      <c r="H44" s="673"/>
      <c r="I44" s="673"/>
      <c r="J44" s="673"/>
      <c r="K44" s="673"/>
      <c r="L44" s="673"/>
      <c r="M44" s="673"/>
      <c r="N44" s="673"/>
      <c r="O44" s="673"/>
      <c r="P44" s="673"/>
      <c r="Q44" s="673"/>
      <c r="R44" s="673"/>
      <c r="S44" s="673"/>
      <c r="T44" s="673"/>
      <c r="U44" s="673"/>
      <c r="V44" s="673"/>
    </row>
    <row r="45" spans="1:22" x14ac:dyDescent="0.25">
      <c r="A45" s="1332">
        <v>11</v>
      </c>
      <c r="B45" s="1333" t="s">
        <v>521</v>
      </c>
      <c r="C45" s="1347"/>
      <c r="D45" s="1347"/>
      <c r="E45" s="668">
        <v>11.7</v>
      </c>
      <c r="F45" s="668">
        <v>29.1</v>
      </c>
      <c r="G45" s="668"/>
      <c r="H45" s="668">
        <v>18.100000000000001</v>
      </c>
      <c r="I45" s="668">
        <v>50.4</v>
      </c>
      <c r="J45" s="668"/>
      <c r="K45" s="668">
        <v>27.1</v>
      </c>
      <c r="L45" s="668">
        <v>63.3</v>
      </c>
      <c r="M45" s="668"/>
      <c r="N45" s="668">
        <v>21.7</v>
      </c>
      <c r="O45" s="668">
        <v>31.7</v>
      </c>
      <c r="P45" s="668"/>
      <c r="Q45" s="668">
        <v>61.6</v>
      </c>
      <c r="R45" s="668">
        <v>74.3</v>
      </c>
      <c r="S45" s="668">
        <v>61</v>
      </c>
      <c r="T45" s="668"/>
      <c r="U45" s="668">
        <v>93.9</v>
      </c>
      <c r="V45" s="668">
        <v>90.2</v>
      </c>
    </row>
    <row r="46" spans="1:22" x14ac:dyDescent="0.25">
      <c r="A46" s="1348"/>
      <c r="B46" s="1348"/>
      <c r="C46" s="1349"/>
      <c r="D46" s="1349"/>
      <c r="E46" s="673"/>
      <c r="F46" s="673"/>
      <c r="G46" s="673"/>
      <c r="H46" s="673"/>
      <c r="I46" s="673"/>
      <c r="J46" s="673"/>
      <c r="K46" s="673"/>
      <c r="L46" s="673"/>
      <c r="M46" s="673"/>
      <c r="N46" s="673"/>
      <c r="O46" s="673"/>
      <c r="P46" s="673"/>
      <c r="Q46" s="673"/>
      <c r="R46" s="673"/>
      <c r="S46" s="673"/>
      <c r="T46" s="673"/>
      <c r="U46" s="673"/>
      <c r="V46" s="673"/>
    </row>
    <row r="47" spans="1:22" x14ac:dyDescent="0.25">
      <c r="A47" s="1332">
        <v>12</v>
      </c>
      <c r="B47" s="1333" t="s">
        <v>522</v>
      </c>
      <c r="C47" s="1347"/>
      <c r="D47" s="1347"/>
      <c r="E47" s="668">
        <v>42.8</v>
      </c>
      <c r="F47" s="668">
        <v>25.9</v>
      </c>
      <c r="G47" s="668"/>
      <c r="H47" s="668">
        <v>22.3</v>
      </c>
      <c r="I47" s="668">
        <v>45.5</v>
      </c>
      <c r="J47" s="668"/>
      <c r="K47" s="668">
        <v>27.4</v>
      </c>
      <c r="L47" s="668">
        <v>47.5</v>
      </c>
      <c r="M47" s="668"/>
      <c r="N47" s="668">
        <v>29.6</v>
      </c>
      <c r="O47" s="668">
        <v>28</v>
      </c>
      <c r="P47" s="668"/>
      <c r="Q47" s="668">
        <v>60.8</v>
      </c>
      <c r="R47" s="668">
        <v>64.900000000000006</v>
      </c>
      <c r="S47" s="668">
        <v>58.9</v>
      </c>
      <c r="T47" s="668"/>
      <c r="U47" s="668">
        <v>62.4</v>
      </c>
      <c r="V47" s="668">
        <v>71.2</v>
      </c>
    </row>
    <row r="48" spans="1:22" x14ac:dyDescent="0.25">
      <c r="A48" s="1350"/>
      <c r="B48" s="1348"/>
      <c r="C48" s="1349"/>
      <c r="D48" s="1349"/>
      <c r="E48" s="1351"/>
      <c r="F48" s="1351"/>
      <c r="G48" s="1351"/>
      <c r="H48" s="1351"/>
      <c r="I48" s="1351"/>
      <c r="J48" s="1351"/>
      <c r="K48" s="1351"/>
      <c r="L48" s="1351"/>
      <c r="M48" s="1351"/>
      <c r="N48" s="1351"/>
      <c r="O48" s="1351"/>
      <c r="P48" s="1351"/>
      <c r="Q48" s="1351"/>
      <c r="R48" s="1351"/>
      <c r="S48" s="1351"/>
      <c r="T48" s="1351"/>
      <c r="U48" s="1351"/>
      <c r="V48" s="1351"/>
    </row>
    <row r="49" spans="1:22" x14ac:dyDescent="0.25">
      <c r="A49" s="1348"/>
      <c r="B49" s="1348"/>
      <c r="C49" s="1349"/>
      <c r="D49" s="1349"/>
      <c r="E49" s="673"/>
      <c r="F49" s="673"/>
      <c r="G49" s="673"/>
      <c r="H49" s="673"/>
      <c r="I49" s="673"/>
      <c r="J49" s="673"/>
      <c r="K49" s="673"/>
      <c r="L49" s="673"/>
      <c r="M49" s="673"/>
      <c r="N49" s="673"/>
      <c r="O49" s="673"/>
      <c r="P49" s="673"/>
      <c r="Q49" s="673"/>
      <c r="R49" s="673"/>
      <c r="S49" s="673"/>
      <c r="T49" s="673"/>
      <c r="U49" s="673"/>
      <c r="V49" s="673"/>
    </row>
    <row r="50" spans="1:22" x14ac:dyDescent="0.25">
      <c r="A50" s="1352" t="s">
        <v>584</v>
      </c>
      <c r="B50" s="1333" t="s">
        <v>585</v>
      </c>
      <c r="C50" s="1347"/>
      <c r="D50" s="1347"/>
      <c r="E50" s="668">
        <v>225.7</v>
      </c>
      <c r="F50" s="668">
        <v>345.1</v>
      </c>
      <c r="G50" s="668"/>
      <c r="H50" s="668">
        <v>241.7</v>
      </c>
      <c r="I50" s="668">
        <v>483.4</v>
      </c>
      <c r="J50" s="668"/>
      <c r="K50" s="668">
        <v>299.39999999999998</v>
      </c>
      <c r="L50" s="668">
        <v>574.4</v>
      </c>
      <c r="M50" s="668"/>
      <c r="N50" s="668">
        <v>342.9</v>
      </c>
      <c r="O50" s="668">
        <v>371</v>
      </c>
      <c r="P50" s="668"/>
      <c r="Q50" s="668">
        <v>605.70000000000005</v>
      </c>
      <c r="R50" s="668">
        <v>682.7</v>
      </c>
      <c r="S50" s="668">
        <v>658.8</v>
      </c>
      <c r="T50" s="668"/>
      <c r="U50" s="668">
        <v>784.4</v>
      </c>
      <c r="V50" s="668">
        <v>778</v>
      </c>
    </row>
    <row r="51" spans="1:22" x14ac:dyDescent="0.25">
      <c r="A51" s="1348"/>
      <c r="B51" s="1348"/>
      <c r="C51" s="1349"/>
      <c r="D51" s="1349"/>
      <c r="E51" s="1351"/>
      <c r="F51" s="1351"/>
      <c r="G51" s="1351"/>
      <c r="H51" s="1351"/>
      <c r="I51" s="1351"/>
      <c r="J51" s="1351"/>
      <c r="K51" s="1351"/>
      <c r="L51" s="1351"/>
      <c r="M51" s="1351"/>
      <c r="N51" s="1351"/>
      <c r="O51" s="1351"/>
      <c r="P51" s="1351"/>
      <c r="Q51" s="1351"/>
      <c r="R51" s="1351"/>
      <c r="S51" s="1351"/>
      <c r="T51" s="1351"/>
      <c r="U51" s="1351"/>
      <c r="V51" s="1351"/>
    </row>
    <row r="52" spans="1:22" x14ac:dyDescent="0.25">
      <c r="A52" s="1348"/>
      <c r="B52" s="1348"/>
      <c r="C52" s="1349"/>
      <c r="D52" s="1349"/>
      <c r="E52" s="673"/>
      <c r="F52" s="673"/>
      <c r="G52" s="673"/>
      <c r="H52" s="673"/>
      <c r="I52" s="673"/>
      <c r="J52" s="673"/>
      <c r="K52" s="673"/>
      <c r="L52" s="673"/>
      <c r="M52" s="673"/>
      <c r="N52" s="673"/>
      <c r="O52" s="673"/>
      <c r="P52" s="673"/>
      <c r="Q52" s="673"/>
      <c r="R52" s="673"/>
      <c r="S52" s="673"/>
      <c r="T52" s="673"/>
      <c r="U52" s="673"/>
      <c r="V52" s="673"/>
    </row>
    <row r="53" spans="1:22" x14ac:dyDescent="0.25">
      <c r="A53" s="1332">
        <v>13</v>
      </c>
      <c r="B53" s="1333" t="s">
        <v>580</v>
      </c>
      <c r="C53" s="1357"/>
      <c r="D53" s="1347"/>
      <c r="E53" s="668">
        <v>31.3</v>
      </c>
      <c r="F53" s="668">
        <v>40.1</v>
      </c>
      <c r="G53" s="668"/>
      <c r="H53" s="668">
        <v>33</v>
      </c>
      <c r="I53" s="668">
        <v>67.8</v>
      </c>
      <c r="J53" s="668"/>
      <c r="K53" s="668">
        <v>57.2</v>
      </c>
      <c r="L53" s="668">
        <v>90.1</v>
      </c>
      <c r="M53" s="668"/>
      <c r="N53" s="668">
        <v>39.799999999999997</v>
      </c>
      <c r="O53" s="668">
        <v>37.1</v>
      </c>
      <c r="P53" s="668"/>
      <c r="Q53" s="668">
        <v>102.6</v>
      </c>
      <c r="R53" s="668">
        <v>118.5</v>
      </c>
      <c r="S53" s="668">
        <v>113.9</v>
      </c>
      <c r="T53" s="668"/>
      <c r="U53" s="668">
        <v>110.4</v>
      </c>
      <c r="V53" s="668">
        <v>107.8</v>
      </c>
    </row>
    <row r="54" spans="1:22" x14ac:dyDescent="0.25">
      <c r="A54" s="1353"/>
      <c r="B54" s="1353"/>
      <c r="C54" s="1358"/>
      <c r="D54" s="1359"/>
      <c r="E54" s="1354"/>
      <c r="F54" s="1354"/>
      <c r="G54" s="1354"/>
      <c r="H54" s="1354"/>
      <c r="I54" s="1354"/>
      <c r="J54" s="1354"/>
      <c r="K54" s="1354"/>
      <c r="L54" s="1354"/>
      <c r="M54" s="1354"/>
      <c r="N54" s="1354"/>
      <c r="O54" s="1354"/>
      <c r="P54" s="1354"/>
      <c r="Q54" s="1354"/>
      <c r="R54" s="1354"/>
      <c r="S54" s="1354"/>
      <c r="T54" s="1354"/>
      <c r="U54" s="1354"/>
      <c r="V54" s="1354"/>
    </row>
    <row r="55" spans="1:22" x14ac:dyDescent="0.25">
      <c r="A55" s="1310"/>
      <c r="B55" s="1310"/>
      <c r="C55" s="1345"/>
      <c r="D55" s="1360"/>
      <c r="E55" s="682"/>
      <c r="F55" s="682"/>
      <c r="G55" s="682"/>
      <c r="H55" s="682"/>
      <c r="I55" s="682"/>
      <c r="J55" s="682"/>
      <c r="K55" s="682"/>
      <c r="L55" s="682"/>
      <c r="M55" s="682"/>
      <c r="N55" s="682"/>
      <c r="O55" s="682"/>
      <c r="P55" s="682"/>
      <c r="Q55" s="682"/>
      <c r="R55" s="682"/>
      <c r="S55" s="682"/>
      <c r="T55" s="682"/>
      <c r="U55" s="682"/>
      <c r="V55" s="682"/>
    </row>
    <row r="56" spans="1:22" x14ac:dyDescent="0.25">
      <c r="A56" s="1355" t="s">
        <v>526</v>
      </c>
      <c r="B56" s="1356"/>
      <c r="C56" s="1361"/>
      <c r="D56" s="1362"/>
      <c r="E56" s="687">
        <v>257</v>
      </c>
      <c r="F56" s="687">
        <v>385.2</v>
      </c>
      <c r="G56" s="687"/>
      <c r="H56" s="687">
        <v>274.7</v>
      </c>
      <c r="I56" s="687">
        <v>551.1</v>
      </c>
      <c r="J56" s="687"/>
      <c r="K56" s="687">
        <v>356.6</v>
      </c>
      <c r="L56" s="687">
        <v>664.5</v>
      </c>
      <c r="M56" s="687"/>
      <c r="N56" s="687">
        <v>382.8</v>
      </c>
      <c r="O56" s="687">
        <v>408.1</v>
      </c>
      <c r="P56" s="687"/>
      <c r="Q56" s="687">
        <v>708.3</v>
      </c>
      <c r="R56" s="687">
        <v>801.2</v>
      </c>
      <c r="S56" s="687">
        <v>772.7</v>
      </c>
      <c r="T56" s="687"/>
      <c r="U56" s="687">
        <v>894.8</v>
      </c>
      <c r="V56" s="687">
        <v>885.8</v>
      </c>
    </row>
    <row r="57" spans="1:22" x14ac:dyDescent="0.25">
      <c r="A57" s="1363"/>
      <c r="B57" s="1364"/>
      <c r="C57" s="1365"/>
      <c r="D57" s="1365"/>
      <c r="E57" s="692"/>
      <c r="F57" s="692"/>
      <c r="G57" s="692"/>
      <c r="H57" s="692"/>
      <c r="I57" s="692"/>
      <c r="J57" s="692"/>
      <c r="K57" s="692"/>
      <c r="L57" s="692"/>
      <c r="M57" s="692"/>
      <c r="N57" s="692"/>
      <c r="O57" s="692"/>
      <c r="P57" s="692"/>
      <c r="Q57" s="692"/>
      <c r="R57" s="692"/>
      <c r="S57" s="692"/>
      <c r="T57" s="692"/>
      <c r="U57" s="692"/>
      <c r="V57" s="692"/>
    </row>
    <row r="58" spans="1:22" x14ac:dyDescent="0.25">
      <c r="A58" s="1366"/>
      <c r="B58" s="1367"/>
      <c r="C58" s="1368"/>
      <c r="D58" s="1368"/>
      <c r="E58" s="696"/>
      <c r="F58" s="696"/>
      <c r="G58" s="696"/>
      <c r="H58" s="696"/>
      <c r="I58" s="696"/>
      <c r="J58" s="696"/>
      <c r="K58" s="696"/>
      <c r="L58" s="696"/>
      <c r="M58" s="696"/>
      <c r="N58" s="696"/>
      <c r="O58" s="696"/>
      <c r="P58" s="696"/>
      <c r="Q58" s="696"/>
      <c r="R58" s="696"/>
      <c r="S58" s="696"/>
      <c r="T58" s="696"/>
      <c r="U58" s="696"/>
      <c r="V58" s="696"/>
    </row>
    <row r="59" spans="1:22" x14ac:dyDescent="0.25">
      <c r="A59" s="1369" t="s">
        <v>611</v>
      </c>
      <c r="B59" s="1369"/>
      <c r="C59" s="1370"/>
      <c r="D59" s="1361"/>
      <c r="E59" s="696"/>
      <c r="F59" s="696"/>
      <c r="G59" s="696"/>
      <c r="H59" s="696"/>
      <c r="I59" s="696"/>
      <c r="J59" s="696"/>
      <c r="K59" s="696"/>
      <c r="L59" s="696"/>
      <c r="M59" s="696"/>
      <c r="N59" s="696"/>
      <c r="O59" s="696"/>
      <c r="P59" s="696"/>
      <c r="Q59" s="696"/>
      <c r="R59" s="696"/>
      <c r="S59" s="696"/>
      <c r="T59" s="696"/>
      <c r="U59" s="696"/>
      <c r="V59" s="696"/>
    </row>
    <row r="60" spans="1:22" x14ac:dyDescent="0.25">
      <c r="A60" s="1371" t="s">
        <v>526</v>
      </c>
      <c r="B60" s="1355"/>
      <c r="C60" s="1356"/>
      <c r="D60" s="1362"/>
      <c r="E60" s="687">
        <v>257</v>
      </c>
      <c r="F60" s="687">
        <v>192.6</v>
      </c>
      <c r="G60" s="687"/>
      <c r="H60" s="687">
        <v>274.7</v>
      </c>
      <c r="I60" s="687">
        <v>275.60000000000002</v>
      </c>
      <c r="J60" s="687"/>
      <c r="K60" s="687">
        <v>356.6</v>
      </c>
      <c r="L60" s="687">
        <v>332.3</v>
      </c>
      <c r="M60" s="687"/>
      <c r="N60" s="687">
        <v>191.4</v>
      </c>
      <c r="O60" s="687">
        <v>118.6</v>
      </c>
      <c r="P60" s="687"/>
      <c r="Q60" s="687">
        <v>236.1</v>
      </c>
      <c r="R60" s="687">
        <v>200.3</v>
      </c>
      <c r="S60" s="687">
        <v>147.9</v>
      </c>
      <c r="T60" s="687"/>
      <c r="U60" s="687">
        <v>259.8</v>
      </c>
      <c r="V60" s="687">
        <v>177.3</v>
      </c>
    </row>
    <row r="61" spans="1:22" x14ac:dyDescent="0.25">
      <c r="A61" s="1353"/>
      <c r="B61" s="1353"/>
      <c r="C61" s="1372"/>
      <c r="D61" s="1358"/>
      <c r="E61" s="1373"/>
      <c r="F61" s="1373"/>
      <c r="G61" s="1373"/>
      <c r="H61" s="1373"/>
      <c r="I61" s="1373"/>
      <c r="J61" s="1373"/>
      <c r="K61" s="1373"/>
      <c r="L61" s="1373"/>
      <c r="M61" s="1373"/>
      <c r="N61" s="1373"/>
      <c r="O61" s="1358"/>
      <c r="P61" s="1358"/>
      <c r="Q61" s="1358"/>
      <c r="R61" s="1373"/>
      <c r="S61" s="1373"/>
      <c r="T61" s="1373"/>
      <c r="U61" s="1373"/>
      <c r="V61" s="1373"/>
    </row>
    <row r="62" spans="1:22" x14ac:dyDescent="0.25">
      <c r="A62" s="1310"/>
      <c r="B62" s="1310"/>
      <c r="C62" s="1374"/>
      <c r="D62" s="1345"/>
      <c r="E62" s="1375"/>
      <c r="F62" s="1375"/>
      <c r="G62" s="1375"/>
      <c r="H62" s="1375"/>
      <c r="I62" s="1375"/>
      <c r="J62" s="1375"/>
      <c r="K62" s="1375"/>
      <c r="L62" s="1330"/>
      <c r="M62" s="1330"/>
      <c r="N62" s="1330"/>
      <c r="O62" s="1330"/>
      <c r="P62" s="1330"/>
      <c r="Q62" s="1330"/>
      <c r="R62" s="1330"/>
      <c r="S62" s="1330"/>
      <c r="T62" s="1330"/>
      <c r="U62" s="1330"/>
      <c r="V62" s="1330"/>
    </row>
    <row r="63" spans="1:22" x14ac:dyDescent="0.25">
      <c r="A63" s="1376" t="s">
        <v>612</v>
      </c>
      <c r="B63" s="1331"/>
      <c r="C63" s="1377"/>
      <c r="D63" s="1331"/>
      <c r="E63" s="1346"/>
      <c r="F63" s="1346"/>
      <c r="G63" s="1346"/>
      <c r="H63" s="1346"/>
      <c r="I63" s="1346"/>
      <c r="J63" s="1346"/>
      <c r="K63" s="1346"/>
      <c r="L63" s="1313"/>
      <c r="M63" s="1313"/>
      <c r="N63" s="1346"/>
      <c r="O63" s="1346"/>
      <c r="P63" s="1346"/>
      <c r="Q63" s="1346"/>
      <c r="R63" s="1346"/>
      <c r="S63" s="1346"/>
      <c r="T63" s="1346"/>
      <c r="U63" s="1346"/>
      <c r="V63" s="1346"/>
    </row>
    <row r="64" spans="1:22" x14ac:dyDescent="0.25">
      <c r="A64" s="1317" t="s">
        <v>613</v>
      </c>
      <c r="B64" s="1378"/>
      <c r="C64" s="1379"/>
      <c r="D64" s="1379"/>
      <c r="E64" s="1380"/>
      <c r="F64" s="1380"/>
      <c r="G64" s="1380"/>
      <c r="H64" s="1380"/>
      <c r="I64" s="1380"/>
      <c r="J64" s="1380"/>
      <c r="K64" s="1380"/>
      <c r="L64" s="1313"/>
      <c r="M64" s="1313"/>
      <c r="N64" s="1380"/>
      <c r="O64" s="1380"/>
      <c r="P64" s="1380"/>
      <c r="Q64" s="1380"/>
      <c r="R64" s="1380"/>
      <c r="S64" s="1380"/>
      <c r="T64" s="1380"/>
      <c r="U64" s="1380"/>
      <c r="V64" s="1380"/>
    </row>
    <row r="65" spans="1:22" x14ac:dyDescent="0.25">
      <c r="A65" s="1381" t="s">
        <v>641</v>
      </c>
      <c r="B65" s="1378"/>
      <c r="C65" s="1379"/>
      <c r="D65" s="1379"/>
      <c r="E65" s="1380"/>
      <c r="F65" s="1380"/>
      <c r="G65" s="1380"/>
      <c r="H65" s="1380"/>
      <c r="I65" s="1380"/>
      <c r="J65" s="1380"/>
      <c r="K65" s="1380"/>
      <c r="L65" s="1313"/>
      <c r="M65" s="1313"/>
      <c r="N65" s="1380"/>
      <c r="O65" s="1380"/>
      <c r="P65" s="1380"/>
      <c r="Q65" s="1380"/>
      <c r="R65" s="1380"/>
      <c r="S65" s="1380"/>
      <c r="T65" s="1380"/>
      <c r="U65" s="1380"/>
      <c r="V65" s="1380"/>
    </row>
    <row r="66" spans="1:22" x14ac:dyDescent="0.25">
      <c r="A66" s="1317" t="s">
        <v>642</v>
      </c>
      <c r="B66" s="1382"/>
      <c r="C66" s="1379"/>
      <c r="D66" s="1379"/>
      <c r="E66" s="1380"/>
      <c r="F66" s="1380"/>
      <c r="G66" s="1380"/>
      <c r="H66" s="1380"/>
      <c r="I66" s="1380"/>
      <c r="J66" s="1380"/>
      <c r="K66" s="1380"/>
      <c r="L66" s="1313"/>
      <c r="M66" s="1313"/>
      <c r="N66" s="1380"/>
      <c r="O66" s="1380"/>
      <c r="P66" s="1380"/>
      <c r="Q66" s="1380"/>
      <c r="R66" s="1380"/>
      <c r="S66" s="1380"/>
      <c r="T66" s="1380"/>
      <c r="U66" s="1380"/>
      <c r="V66" s="1331"/>
    </row>
    <row r="67" spans="1:22" x14ac:dyDescent="0.25">
      <c r="A67" s="1317"/>
      <c r="B67" s="1317"/>
      <c r="C67" s="1383"/>
      <c r="D67" s="1383"/>
      <c r="E67" s="1328"/>
      <c r="F67" s="1328"/>
      <c r="G67" s="1328"/>
      <c r="H67" s="1328"/>
      <c r="I67" s="1328"/>
      <c r="J67" s="1328"/>
      <c r="K67" s="1328"/>
      <c r="L67" s="1381"/>
      <c r="M67" s="1381"/>
      <c r="N67" s="1381"/>
      <c r="O67" s="1381"/>
      <c r="P67" s="1381"/>
      <c r="Q67" s="1381"/>
      <c r="R67" s="1381"/>
      <c r="S67" s="1381"/>
      <c r="T67" s="1381"/>
      <c r="U67" s="1381"/>
      <c r="V67" s="1381"/>
    </row>
    <row r="68" spans="1:22" x14ac:dyDescent="0.25">
      <c r="A68" s="1313"/>
      <c r="B68" s="1331"/>
      <c r="C68" s="1331"/>
      <c r="D68" s="1331"/>
      <c r="E68" s="1331"/>
      <c r="F68" s="1380"/>
      <c r="G68" s="1380"/>
      <c r="H68" s="1380"/>
      <c r="I68" s="1380"/>
      <c r="J68" s="1380"/>
      <c r="K68" s="1380"/>
      <c r="L68" s="1381"/>
      <c r="M68" s="1381"/>
      <c r="N68" s="1381"/>
      <c r="O68" s="1381"/>
      <c r="P68" s="1381"/>
      <c r="Q68" s="1381"/>
      <c r="R68" s="1381"/>
      <c r="S68" s="1381"/>
      <c r="T68" s="1381"/>
      <c r="U68" s="1381"/>
      <c r="V68" s="1381"/>
    </row>
    <row r="69" spans="1:22" x14ac:dyDescent="0.25">
      <c r="A69" s="1313" t="s">
        <v>616</v>
      </c>
      <c r="B69" s="1317"/>
      <c r="C69" s="1383"/>
      <c r="D69" s="1383"/>
      <c r="E69" s="1328"/>
      <c r="F69" s="1328"/>
      <c r="G69" s="1328"/>
      <c r="H69" s="1328"/>
      <c r="I69" s="1328"/>
      <c r="J69" s="1328"/>
      <c r="K69" s="1328"/>
      <c r="L69" s="1313"/>
      <c r="M69" s="1313"/>
      <c r="N69" s="1313"/>
      <c r="O69" s="1313"/>
      <c r="P69" s="1313"/>
      <c r="Q69" s="1313"/>
      <c r="R69" s="1313"/>
      <c r="S69" s="1313"/>
      <c r="T69" s="1313"/>
      <c r="U69" s="1313"/>
      <c r="V69" s="1313"/>
    </row>
  </sheetData>
  <mergeCells count="5">
    <mergeCell ref="N7:O7"/>
    <mergeCell ref="F22:U22"/>
    <mergeCell ref="AC7:AD7"/>
    <mergeCell ref="AM7:AN7"/>
    <mergeCell ref="AX7:AY7"/>
  </mergeCells>
  <conditionalFormatting sqref="AV14:BB31">
    <cfRule type="cellIs" dxfId="1" priority="1" operator="greaterThan">
      <formula>0</formula>
    </cfRule>
    <cfRule type="cellIs" dxfId="0" priority="2" operator="lessThan">
      <formula>0</formula>
    </cfRule>
  </conditionalFormatting>
  <hyperlinks>
    <hyperlink ref="V1" location="Contents!A1" display="Back to Contents" xr:uid="{9B5F7960-F310-4A62-A6BF-5756834E882A}"/>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R72"/>
  <sheetViews>
    <sheetView workbookViewId="0">
      <selection activeCell="O25" sqref="O25"/>
    </sheetView>
  </sheetViews>
  <sheetFormatPr defaultRowHeight="15" outlineLevelCol="1" x14ac:dyDescent="0.25"/>
  <cols>
    <col min="6" max="11" width="9.140625" customWidth="1" outlineLevel="1"/>
    <col min="12" max="12" width="9.140625" style="561" customWidth="1" outlineLevel="1"/>
    <col min="13" max="18" width="9.140625" customWidth="1" outlineLevel="1"/>
    <col min="19" max="21" width="9.140625" style="116"/>
  </cols>
  <sheetData>
    <row r="1" spans="1:70" ht="15.75" x14ac:dyDescent="0.25">
      <c r="A1" s="103" t="s">
        <v>540</v>
      </c>
      <c r="B1" s="36"/>
      <c r="C1" s="37"/>
      <c r="D1" s="85"/>
      <c r="E1" s="86"/>
      <c r="F1" s="86"/>
      <c r="G1" s="86"/>
      <c r="H1" s="86"/>
      <c r="I1" s="86"/>
      <c r="J1" s="39"/>
      <c r="K1" s="242"/>
      <c r="L1" s="742"/>
      <c r="M1" s="242"/>
      <c r="N1" s="242"/>
      <c r="O1" s="242"/>
      <c r="P1" s="242"/>
      <c r="Q1" s="242"/>
      <c r="R1" s="242"/>
      <c r="S1" s="35"/>
      <c r="T1" s="35"/>
      <c r="U1" s="35"/>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126"/>
    </row>
    <row r="2" spans="1:70" ht="18" x14ac:dyDescent="0.25">
      <c r="A2" s="103" t="s">
        <v>617</v>
      </c>
      <c r="B2" s="36"/>
      <c r="C2" s="126"/>
      <c r="D2" s="40"/>
      <c r="E2" s="38"/>
      <c r="F2" s="38"/>
      <c r="G2" s="38"/>
      <c r="H2" s="38"/>
      <c r="I2" s="38"/>
      <c r="J2" s="38"/>
      <c r="K2" s="242"/>
      <c r="L2" s="742"/>
      <c r="M2" s="242"/>
      <c r="N2" s="242"/>
      <c r="O2" s="242"/>
      <c r="P2" s="242"/>
      <c r="Q2" s="242"/>
      <c r="R2" s="242"/>
      <c r="S2" s="35"/>
      <c r="T2" s="35"/>
      <c r="U2" s="35"/>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126"/>
    </row>
    <row r="3" spans="1:70" ht="18" x14ac:dyDescent="0.25">
      <c r="A3" s="104" t="s">
        <v>643</v>
      </c>
      <c r="B3" s="36"/>
      <c r="C3" s="337"/>
      <c r="D3" s="40"/>
      <c r="E3" s="38"/>
      <c r="F3" s="38"/>
      <c r="G3" s="38"/>
      <c r="H3" s="38"/>
      <c r="I3" s="38"/>
      <c r="J3" s="38"/>
      <c r="K3" s="242"/>
      <c r="L3" s="742"/>
      <c r="M3" s="242"/>
      <c r="N3" s="242"/>
      <c r="O3" s="242"/>
      <c r="P3" s="242"/>
      <c r="Q3" s="242"/>
      <c r="R3" s="242"/>
      <c r="S3" s="35"/>
      <c r="T3" s="35"/>
      <c r="U3" s="35"/>
      <c r="V3" s="242"/>
      <c r="W3" s="242"/>
      <c r="X3" s="242"/>
      <c r="Y3" s="242"/>
      <c r="Z3" s="242"/>
      <c r="AA3" s="242"/>
      <c r="AB3" s="242"/>
      <c r="AC3" s="242"/>
      <c r="AD3" s="242"/>
      <c r="AE3" s="242"/>
      <c r="AF3" s="242"/>
      <c r="AG3" s="242"/>
      <c r="AH3" s="242"/>
      <c r="AI3" s="242"/>
      <c r="AJ3" s="242"/>
      <c r="AK3" s="242"/>
      <c r="AL3" s="242"/>
      <c r="AM3" s="242"/>
      <c r="AN3" s="242"/>
      <c r="AO3" s="242"/>
      <c r="AP3" s="242"/>
      <c r="AQ3" s="242"/>
      <c r="AR3" s="242"/>
      <c r="AS3" s="242"/>
      <c r="AT3" s="242"/>
      <c r="AU3" s="242"/>
      <c r="AV3" s="242"/>
      <c r="AW3" s="242"/>
      <c r="AX3" s="242"/>
      <c r="AY3" s="242"/>
      <c r="AZ3" s="242"/>
      <c r="BA3" s="242"/>
      <c r="BB3" s="242"/>
      <c r="BC3" s="242"/>
      <c r="BD3" s="242"/>
      <c r="BE3" s="242"/>
      <c r="BF3" s="242"/>
      <c r="BG3" s="242"/>
      <c r="BH3" s="242"/>
      <c r="BI3" s="242"/>
      <c r="BJ3" s="242"/>
      <c r="BK3" s="242"/>
      <c r="BL3" s="242"/>
      <c r="BM3" s="242"/>
      <c r="BN3" s="242"/>
      <c r="BO3" s="242"/>
      <c r="BP3" s="242"/>
      <c r="BQ3" s="242"/>
      <c r="BR3" s="126"/>
    </row>
    <row r="4" spans="1:70" x14ac:dyDescent="0.25">
      <c r="A4" s="129"/>
      <c r="B4" s="129"/>
      <c r="C4" s="130"/>
      <c r="D4" s="130"/>
      <c r="E4" s="323"/>
      <c r="F4" s="323"/>
      <c r="G4" s="323"/>
      <c r="H4" s="323"/>
      <c r="I4" s="323"/>
      <c r="J4" s="323"/>
      <c r="K4" s="94"/>
      <c r="L4" s="743"/>
      <c r="M4" s="130"/>
      <c r="N4" s="130"/>
      <c r="O4" s="323"/>
      <c r="P4" s="323"/>
      <c r="Q4" s="323"/>
      <c r="R4" s="323"/>
      <c r="S4" s="110"/>
      <c r="T4" s="110"/>
      <c r="U4" s="110"/>
      <c r="V4" s="118"/>
      <c r="W4" s="118"/>
      <c r="X4" s="118"/>
      <c r="Y4" s="118"/>
      <c r="Z4" s="118"/>
      <c r="AA4" s="118"/>
      <c r="AB4" s="118"/>
      <c r="AC4" s="118"/>
      <c r="AD4" s="118"/>
      <c r="AE4" s="118"/>
      <c r="AF4" s="118"/>
      <c r="AG4" s="118"/>
      <c r="AH4" s="118"/>
      <c r="AI4" s="118"/>
      <c r="AJ4" s="118"/>
      <c r="AK4" s="118"/>
      <c r="AL4" s="118"/>
      <c r="AM4" s="118"/>
      <c r="AN4" s="118"/>
      <c r="AO4" s="118"/>
      <c r="AP4" s="118"/>
      <c r="AQ4" s="118"/>
      <c r="AR4" s="118"/>
      <c r="AS4" s="118"/>
      <c r="AT4" s="118"/>
      <c r="AU4" s="118"/>
      <c r="AV4" s="118"/>
      <c r="AW4" s="118"/>
      <c r="AX4" s="118"/>
      <c r="AY4" s="118"/>
      <c r="AZ4" s="118"/>
      <c r="BA4" s="118"/>
      <c r="BB4" s="118"/>
      <c r="BC4" s="118"/>
      <c r="BD4" s="118"/>
      <c r="BE4" s="118"/>
      <c r="BF4" s="118"/>
      <c r="BG4" s="118"/>
      <c r="BH4" s="118"/>
      <c r="BI4" s="118"/>
      <c r="BJ4" s="118"/>
      <c r="BK4" s="118"/>
      <c r="BL4" s="118"/>
      <c r="BM4" s="118"/>
      <c r="BN4" s="118"/>
      <c r="BO4" s="118"/>
      <c r="BP4" s="118"/>
      <c r="BQ4" s="118"/>
      <c r="BR4" s="135"/>
    </row>
    <row r="5" spans="1:70" x14ac:dyDescent="0.25">
      <c r="A5" s="136"/>
      <c r="B5" s="128"/>
      <c r="C5" s="137"/>
      <c r="D5" s="137"/>
      <c r="E5" s="143"/>
      <c r="F5" s="143"/>
      <c r="G5" s="143"/>
      <c r="H5" s="143"/>
      <c r="I5" s="143"/>
      <c r="J5" s="143"/>
      <c r="K5" s="43"/>
      <c r="L5" s="744"/>
      <c r="M5" s="137"/>
      <c r="N5" s="137"/>
      <c r="O5" s="143"/>
      <c r="P5" s="143"/>
      <c r="Q5" s="143"/>
      <c r="R5" s="143"/>
      <c r="S5" s="111"/>
      <c r="T5" s="111"/>
      <c r="U5" s="111"/>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137"/>
    </row>
    <row r="6" spans="1:70" x14ac:dyDescent="0.25">
      <c r="A6" s="136"/>
      <c r="B6" s="128"/>
      <c r="C6" s="137"/>
      <c r="D6" s="137"/>
      <c r="E6" s="137"/>
      <c r="F6" s="42" t="s">
        <v>594</v>
      </c>
      <c r="G6" s="42"/>
      <c r="H6" s="42"/>
      <c r="I6" s="42"/>
      <c r="J6" s="42" t="s">
        <v>595</v>
      </c>
      <c r="K6" s="46"/>
      <c r="L6" s="745" t="s">
        <v>596</v>
      </c>
      <c r="M6" s="42"/>
      <c r="N6" s="42"/>
      <c r="O6" s="42"/>
      <c r="P6" s="42"/>
      <c r="Q6" s="42"/>
      <c r="R6" s="42"/>
      <c r="S6" s="111"/>
      <c r="T6" s="111"/>
      <c r="U6" s="111"/>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137"/>
    </row>
    <row r="7" spans="1:70" x14ac:dyDescent="0.25">
      <c r="A7" s="155"/>
      <c r="B7" s="155"/>
      <c r="C7" s="44"/>
      <c r="D7" s="44"/>
      <c r="E7" s="135"/>
      <c r="F7" s="42" t="s">
        <v>597</v>
      </c>
      <c r="G7" s="46"/>
      <c r="H7" s="47" t="s">
        <v>598</v>
      </c>
      <c r="I7" s="46"/>
      <c r="J7" s="71" t="s">
        <v>527</v>
      </c>
      <c r="K7" s="49" t="s">
        <v>528</v>
      </c>
      <c r="L7" s="745" t="s">
        <v>529</v>
      </c>
      <c r="M7" s="45"/>
      <c r="N7" s="42" t="s">
        <v>530</v>
      </c>
      <c r="O7" s="45"/>
      <c r="P7" s="46"/>
      <c r="Q7" s="47" t="s">
        <v>599</v>
      </c>
      <c r="R7" s="46"/>
      <c r="S7" s="111"/>
      <c r="T7" s="111"/>
      <c r="U7" s="111"/>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135"/>
    </row>
    <row r="8" spans="1:70" x14ac:dyDescent="0.25">
      <c r="A8" s="118"/>
      <c r="B8" s="118"/>
      <c r="C8" s="156"/>
      <c r="D8" s="156"/>
      <c r="E8" s="118"/>
      <c r="F8" s="71" t="s">
        <v>527</v>
      </c>
      <c r="G8" s="71" t="s">
        <v>600</v>
      </c>
      <c r="H8" s="71" t="s">
        <v>527</v>
      </c>
      <c r="I8" s="71" t="s">
        <v>528</v>
      </c>
      <c r="J8" s="49" t="s">
        <v>532</v>
      </c>
      <c r="K8" s="49" t="s">
        <v>533</v>
      </c>
      <c r="L8" s="746" t="s">
        <v>534</v>
      </c>
      <c r="M8" s="48" t="s">
        <v>534</v>
      </c>
      <c r="N8" s="49" t="s">
        <v>534</v>
      </c>
      <c r="O8" s="48" t="s">
        <v>534</v>
      </c>
      <c r="P8" s="48" t="s">
        <v>534</v>
      </c>
      <c r="Q8" s="48" t="s">
        <v>601</v>
      </c>
      <c r="R8" s="48" t="s">
        <v>534</v>
      </c>
      <c r="S8" s="110"/>
      <c r="T8" s="110"/>
      <c r="U8" s="110"/>
      <c r="V8" s="118"/>
      <c r="W8" s="118"/>
      <c r="X8" s="118"/>
      <c r="Y8" s="118"/>
      <c r="Z8" s="118"/>
      <c r="AA8" s="118"/>
      <c r="AB8" s="118"/>
      <c r="AC8" s="118"/>
      <c r="AD8" s="118"/>
      <c r="AE8" s="118"/>
      <c r="AF8" s="118"/>
      <c r="AG8" s="118"/>
      <c r="AH8" s="118"/>
      <c r="AI8" s="118"/>
      <c r="AJ8" s="118"/>
      <c r="AK8" s="118"/>
      <c r="AL8" s="118"/>
      <c r="AM8" s="118"/>
      <c r="AN8" s="118"/>
      <c r="AO8" s="118"/>
      <c r="AP8" s="118"/>
      <c r="AQ8" s="118"/>
      <c r="AR8" s="118"/>
      <c r="AS8" s="118"/>
      <c r="AT8" s="118"/>
      <c r="AU8" s="118"/>
      <c r="AV8" s="118"/>
      <c r="AW8" s="118"/>
      <c r="AX8" s="118"/>
      <c r="AY8" s="118"/>
      <c r="AZ8" s="118"/>
      <c r="BA8" s="118"/>
      <c r="BB8" s="118"/>
      <c r="BC8" s="118"/>
      <c r="BD8" s="118"/>
      <c r="BE8" s="118"/>
      <c r="BF8" s="118"/>
      <c r="BG8" s="118"/>
      <c r="BH8" s="118"/>
      <c r="BI8" s="118"/>
      <c r="BJ8" s="118"/>
      <c r="BK8" s="118"/>
      <c r="BL8" s="118"/>
      <c r="BM8" s="118"/>
      <c r="BN8" s="118"/>
      <c r="BO8" s="118"/>
      <c r="BP8" s="118"/>
      <c r="BQ8" s="118"/>
      <c r="BR8" s="135"/>
    </row>
    <row r="9" spans="1:70" x14ac:dyDescent="0.25">
      <c r="A9" s="118"/>
      <c r="B9" s="118"/>
      <c r="C9" s="156"/>
      <c r="D9" s="156"/>
      <c r="E9" s="118"/>
      <c r="F9" s="49" t="s">
        <v>532</v>
      </c>
      <c r="G9" s="71" t="s">
        <v>533</v>
      </c>
      <c r="H9" s="49" t="s">
        <v>532</v>
      </c>
      <c r="I9" s="71" t="s">
        <v>533</v>
      </c>
      <c r="J9" s="49" t="s">
        <v>536</v>
      </c>
      <c r="K9" s="49"/>
      <c r="L9" s="746" t="s">
        <v>537</v>
      </c>
      <c r="M9" s="71" t="s">
        <v>538</v>
      </c>
      <c r="N9" s="71" t="s">
        <v>537</v>
      </c>
      <c r="O9" s="71" t="s">
        <v>538</v>
      </c>
      <c r="P9" s="71" t="s">
        <v>539</v>
      </c>
      <c r="Q9" s="71" t="s">
        <v>543</v>
      </c>
      <c r="R9" s="71" t="s">
        <v>543</v>
      </c>
      <c r="S9" s="110"/>
      <c r="T9" s="110"/>
      <c r="U9" s="110"/>
      <c r="V9" s="118"/>
      <c r="W9" s="118"/>
      <c r="X9" s="118"/>
      <c r="Y9" s="118"/>
      <c r="Z9" s="118"/>
      <c r="AA9" s="118"/>
      <c r="AB9" s="118"/>
      <c r="AC9" s="118"/>
      <c r="AD9" s="118"/>
      <c r="AE9" s="118"/>
      <c r="AF9" s="118"/>
      <c r="AG9" s="118"/>
      <c r="AH9" s="118"/>
      <c r="AI9" s="118"/>
      <c r="AJ9" s="118"/>
      <c r="AK9" s="118"/>
      <c r="AL9" s="118"/>
      <c r="AM9" s="118"/>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18"/>
      <c r="BO9" s="118"/>
      <c r="BP9" s="118"/>
      <c r="BQ9" s="118"/>
      <c r="BR9" s="135"/>
    </row>
    <row r="10" spans="1:70" x14ac:dyDescent="0.25">
      <c r="A10" s="118"/>
      <c r="B10" s="118"/>
      <c r="C10" s="156"/>
      <c r="D10" s="156"/>
      <c r="E10" s="118"/>
      <c r="F10" s="337"/>
      <c r="G10" s="71"/>
      <c r="H10" s="337"/>
      <c r="I10" s="71"/>
      <c r="J10" s="337"/>
      <c r="K10" s="337"/>
      <c r="L10" s="746" t="s">
        <v>541</v>
      </c>
      <c r="M10" s="71" t="s">
        <v>542</v>
      </c>
      <c r="N10" s="71" t="s">
        <v>541</v>
      </c>
      <c r="O10" s="71" t="s">
        <v>543</v>
      </c>
      <c r="P10" s="71" t="s">
        <v>542</v>
      </c>
      <c r="Q10" s="49"/>
      <c r="R10" s="49"/>
      <c r="S10" s="110"/>
      <c r="T10" s="110"/>
      <c r="U10" s="110"/>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U10" s="118"/>
      <c r="AV10" s="118"/>
      <c r="AW10" s="118"/>
      <c r="AX10" s="118"/>
      <c r="AY10" s="118"/>
      <c r="AZ10" s="118"/>
      <c r="BA10" s="118"/>
      <c r="BB10" s="118"/>
      <c r="BC10" s="118"/>
      <c r="BD10" s="118"/>
      <c r="BE10" s="118"/>
      <c r="BF10" s="118"/>
      <c r="BG10" s="118"/>
      <c r="BH10" s="118"/>
      <c r="BI10" s="118"/>
      <c r="BJ10" s="118"/>
      <c r="BK10" s="118"/>
      <c r="BL10" s="118"/>
      <c r="BM10" s="118"/>
      <c r="BN10" s="118"/>
      <c r="BO10" s="118"/>
      <c r="BP10" s="118"/>
      <c r="BQ10" s="118"/>
      <c r="BR10" s="135"/>
    </row>
    <row r="11" spans="1:70" x14ac:dyDescent="0.25">
      <c r="A11" s="231"/>
      <c r="B11" s="231"/>
      <c r="C11" s="231"/>
      <c r="D11" s="231"/>
      <c r="E11" s="118"/>
      <c r="F11" s="84"/>
      <c r="G11" s="84"/>
      <c r="H11" s="84"/>
      <c r="I11" s="84"/>
      <c r="J11" s="84"/>
      <c r="K11" s="84"/>
      <c r="L11" s="747"/>
      <c r="M11" s="71" t="s">
        <v>543</v>
      </c>
      <c r="N11" s="337"/>
      <c r="O11" s="337"/>
      <c r="P11" s="71" t="s">
        <v>543</v>
      </c>
      <c r="Q11" s="337"/>
      <c r="R11" s="337"/>
      <c r="S11" s="110"/>
      <c r="T11" s="110"/>
      <c r="U11" s="110"/>
      <c r="V11" s="118"/>
      <c r="W11" s="118"/>
      <c r="X11" s="118"/>
      <c r="Y11" s="118"/>
      <c r="Z11" s="118"/>
      <c r="AA11" s="118"/>
      <c r="AB11" s="118"/>
      <c r="AC11" s="118"/>
      <c r="AD11" s="118"/>
      <c r="AE11" s="118"/>
      <c r="AF11" s="118"/>
      <c r="AG11" s="118"/>
      <c r="AH11" s="118"/>
      <c r="AI11" s="118"/>
      <c r="AJ11" s="118"/>
      <c r="AK11" s="118"/>
      <c r="AL11" s="118"/>
      <c r="AM11" s="118"/>
      <c r="AN11" s="118"/>
      <c r="AO11" s="118"/>
      <c r="AP11" s="118"/>
      <c r="AQ11" s="118"/>
      <c r="AR11" s="118"/>
      <c r="AS11" s="118"/>
      <c r="AT11" s="118"/>
      <c r="AU11" s="118"/>
      <c r="AV11" s="118"/>
      <c r="AW11" s="118"/>
      <c r="AX11" s="118"/>
      <c r="AY11" s="118"/>
      <c r="AZ11" s="118"/>
      <c r="BA11" s="118"/>
      <c r="BB11" s="118"/>
      <c r="BC11" s="118"/>
      <c r="BD11" s="118"/>
      <c r="BE11" s="118"/>
      <c r="BF11" s="118"/>
      <c r="BG11" s="118"/>
      <c r="BH11" s="118"/>
      <c r="BI11" s="118"/>
      <c r="BJ11" s="118"/>
      <c r="BK11" s="118"/>
      <c r="BL11" s="118"/>
      <c r="BM11" s="118"/>
      <c r="BN11" s="118"/>
      <c r="BO11" s="118"/>
      <c r="BP11" s="118"/>
      <c r="BQ11" s="118"/>
      <c r="BR11" s="135"/>
    </row>
    <row r="12" spans="1:70" x14ac:dyDescent="0.25">
      <c r="A12" s="129"/>
      <c r="B12" s="129"/>
      <c r="C12" s="130"/>
      <c r="D12" s="130"/>
      <c r="E12" s="93"/>
      <c r="F12" s="323"/>
      <c r="G12" s="323"/>
      <c r="H12" s="323"/>
      <c r="I12" s="323"/>
      <c r="J12" s="323"/>
      <c r="K12" s="323"/>
      <c r="L12" s="743"/>
      <c r="M12" s="130"/>
      <c r="N12" s="130"/>
      <c r="O12" s="323"/>
      <c r="P12" s="323"/>
      <c r="Q12" s="323"/>
      <c r="R12" s="323"/>
      <c r="S12" s="110"/>
      <c r="T12" s="110"/>
      <c r="U12" s="110"/>
      <c r="V12" s="118"/>
      <c r="W12" s="118"/>
      <c r="X12" s="118"/>
      <c r="Y12" s="118"/>
      <c r="Z12" s="118"/>
      <c r="AA12" s="118"/>
      <c r="AB12" s="118"/>
      <c r="AC12" s="118"/>
      <c r="AD12" s="118"/>
      <c r="AE12" s="118"/>
      <c r="AF12" s="118"/>
      <c r="AG12" s="118"/>
      <c r="AH12" s="118"/>
      <c r="AI12" s="118"/>
      <c r="AJ12" s="118"/>
      <c r="AK12" s="118"/>
      <c r="AL12" s="118"/>
      <c r="AM12" s="118"/>
      <c r="AN12" s="118"/>
      <c r="AO12" s="118"/>
      <c r="AP12" s="118"/>
      <c r="AQ12" s="118"/>
      <c r="AR12" s="118"/>
      <c r="AS12" s="118"/>
      <c r="AT12" s="118"/>
      <c r="AU12" s="118"/>
      <c r="AV12" s="118"/>
      <c r="AW12" s="118"/>
      <c r="AX12" s="118"/>
      <c r="AY12" s="118"/>
      <c r="AZ12" s="118"/>
      <c r="BA12" s="118"/>
      <c r="BB12" s="118"/>
      <c r="BC12" s="118"/>
      <c r="BD12" s="118"/>
      <c r="BE12" s="118"/>
      <c r="BF12" s="118"/>
      <c r="BG12" s="118"/>
      <c r="BH12" s="118"/>
      <c r="BI12" s="118"/>
      <c r="BJ12" s="118"/>
      <c r="BK12" s="118"/>
      <c r="BL12" s="118"/>
      <c r="BM12" s="118"/>
      <c r="BN12" s="118"/>
      <c r="BO12" s="118"/>
      <c r="BP12" s="118"/>
      <c r="BQ12" s="118"/>
      <c r="BR12" s="135"/>
    </row>
    <row r="13" spans="1:70" x14ac:dyDescent="0.25">
      <c r="A13" s="118"/>
      <c r="B13" s="231"/>
      <c r="C13" s="156"/>
      <c r="D13" s="156"/>
      <c r="E13" s="118"/>
      <c r="F13" s="258"/>
      <c r="G13" s="258"/>
      <c r="H13" s="258"/>
      <c r="I13" s="258"/>
      <c r="J13" s="258"/>
      <c r="K13" s="258"/>
      <c r="L13" s="748"/>
      <c r="M13" s="258"/>
      <c r="N13" s="258"/>
      <c r="O13" s="258"/>
      <c r="P13" s="258"/>
      <c r="Q13" s="258"/>
      <c r="R13" s="258"/>
      <c r="S13" s="110"/>
      <c r="T13" s="110"/>
      <c r="U13" s="110"/>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8"/>
      <c r="BK13" s="118"/>
      <c r="BL13" s="118"/>
      <c r="BM13" s="118"/>
      <c r="BN13" s="118"/>
      <c r="BO13" s="118"/>
      <c r="BP13" s="118"/>
      <c r="BQ13" s="118"/>
      <c r="BR13" s="135"/>
    </row>
    <row r="14" spans="1:70" x14ac:dyDescent="0.25">
      <c r="A14" s="155" t="s">
        <v>602</v>
      </c>
      <c r="B14" s="231"/>
      <c r="C14" s="156"/>
      <c r="D14" s="156"/>
      <c r="E14" s="118"/>
      <c r="F14" s="258">
        <v>740</v>
      </c>
      <c r="G14" s="258">
        <v>450</v>
      </c>
      <c r="H14" s="258">
        <v>2660</v>
      </c>
      <c r="I14" s="258">
        <v>2830</v>
      </c>
      <c r="J14" s="258">
        <v>4380</v>
      </c>
      <c r="K14" s="258">
        <v>5860</v>
      </c>
      <c r="L14" s="748">
        <v>670</v>
      </c>
      <c r="M14" s="258">
        <v>580</v>
      </c>
      <c r="N14" s="258">
        <v>2270</v>
      </c>
      <c r="O14" s="258">
        <v>2340</v>
      </c>
      <c r="P14" s="258">
        <v>960</v>
      </c>
      <c r="Q14" s="258">
        <v>2460</v>
      </c>
      <c r="R14" s="258">
        <v>1040</v>
      </c>
      <c r="S14" s="110"/>
      <c r="T14" s="110"/>
      <c r="U14" s="110"/>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35"/>
    </row>
    <row r="15" spans="1:70" x14ac:dyDescent="0.25">
      <c r="A15" s="50" t="s">
        <v>603</v>
      </c>
      <c r="B15" s="51"/>
      <c r="C15" s="52"/>
      <c r="D15" s="52"/>
      <c r="E15" s="53"/>
      <c r="F15" s="52">
        <v>120</v>
      </c>
      <c r="G15" s="52">
        <v>90</v>
      </c>
      <c r="H15" s="52">
        <v>460</v>
      </c>
      <c r="I15" s="52">
        <v>570</v>
      </c>
      <c r="J15" s="52">
        <v>770</v>
      </c>
      <c r="K15" s="52">
        <v>1060</v>
      </c>
      <c r="L15" s="749">
        <v>130</v>
      </c>
      <c r="M15" s="52">
        <v>130</v>
      </c>
      <c r="N15" s="52">
        <v>400</v>
      </c>
      <c r="O15" s="52">
        <v>460</v>
      </c>
      <c r="P15" s="52">
        <v>200</v>
      </c>
      <c r="Q15" s="52">
        <v>370</v>
      </c>
      <c r="R15" s="52">
        <v>160</v>
      </c>
      <c r="S15" s="111"/>
      <c r="T15" s="111"/>
      <c r="U15" s="111"/>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53"/>
    </row>
    <row r="16" spans="1:70" x14ac:dyDescent="0.25">
      <c r="A16" s="50" t="s">
        <v>604</v>
      </c>
      <c r="B16" s="51"/>
      <c r="C16" s="52"/>
      <c r="D16" s="52"/>
      <c r="E16" s="53"/>
      <c r="F16" s="52">
        <v>120</v>
      </c>
      <c r="G16" s="52">
        <v>190</v>
      </c>
      <c r="H16" s="52">
        <v>460</v>
      </c>
      <c r="I16" s="52">
        <v>1140</v>
      </c>
      <c r="J16" s="52">
        <v>770</v>
      </c>
      <c r="K16" s="52">
        <v>2130</v>
      </c>
      <c r="L16" s="749">
        <v>270</v>
      </c>
      <c r="M16" s="52">
        <v>440</v>
      </c>
      <c r="N16" s="52">
        <v>1210</v>
      </c>
      <c r="O16" s="52">
        <v>1820</v>
      </c>
      <c r="P16" s="52">
        <v>1070</v>
      </c>
      <c r="Q16" s="52">
        <v>1240</v>
      </c>
      <c r="R16" s="52">
        <v>770</v>
      </c>
      <c r="S16" s="111"/>
      <c r="T16" s="111"/>
      <c r="U16" s="111"/>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53"/>
    </row>
    <row r="17" spans="1:70" x14ac:dyDescent="0.25">
      <c r="A17" s="50" t="s">
        <v>605</v>
      </c>
      <c r="B17" s="51"/>
      <c r="C17" s="52"/>
      <c r="D17" s="52"/>
      <c r="E17" s="53"/>
      <c r="F17" s="52">
        <v>120</v>
      </c>
      <c r="G17" s="52">
        <v>190</v>
      </c>
      <c r="H17" s="52">
        <v>460</v>
      </c>
      <c r="I17" s="52">
        <v>1140</v>
      </c>
      <c r="J17" s="52">
        <v>770</v>
      </c>
      <c r="K17" s="52">
        <v>2130</v>
      </c>
      <c r="L17" s="749">
        <v>130</v>
      </c>
      <c r="M17" s="52">
        <v>130</v>
      </c>
      <c r="N17" s="52">
        <v>810</v>
      </c>
      <c r="O17" s="52">
        <v>910</v>
      </c>
      <c r="P17" s="52">
        <v>400</v>
      </c>
      <c r="Q17" s="52">
        <v>1240</v>
      </c>
      <c r="R17" s="52">
        <v>540</v>
      </c>
      <c r="S17" s="111"/>
      <c r="T17" s="111"/>
      <c r="U17" s="111"/>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53"/>
    </row>
    <row r="18" spans="1:70" x14ac:dyDescent="0.25">
      <c r="A18" s="118"/>
      <c r="B18" s="231"/>
      <c r="C18" s="156"/>
      <c r="D18" s="156"/>
      <c r="E18" s="118"/>
      <c r="F18" s="157"/>
      <c r="G18" s="157"/>
      <c r="H18" s="157"/>
      <c r="I18" s="157"/>
      <c r="J18" s="54"/>
      <c r="K18" s="54"/>
      <c r="L18" s="750"/>
      <c r="M18" s="157"/>
      <c r="N18" s="54"/>
      <c r="O18" s="157"/>
      <c r="P18" s="157"/>
      <c r="Q18" s="157"/>
      <c r="R18" s="157"/>
      <c r="S18" s="110"/>
      <c r="T18" s="110"/>
      <c r="U18" s="110"/>
      <c r="V18" s="118"/>
      <c r="W18" s="118"/>
      <c r="X18" s="118"/>
      <c r="Y18" s="118"/>
      <c r="Z18" s="118"/>
      <c r="AA18" s="118"/>
      <c r="AB18" s="118"/>
      <c r="AC18" s="118"/>
      <c r="AD18" s="118"/>
      <c r="AE18" s="118"/>
      <c r="AF18" s="118"/>
      <c r="AG18" s="118"/>
      <c r="AH18" s="118"/>
      <c r="AI18" s="118"/>
      <c r="AJ18" s="118"/>
      <c r="AK18" s="118"/>
      <c r="AL18" s="118"/>
      <c r="AM18" s="118"/>
      <c r="AN18" s="118"/>
      <c r="AO18" s="118"/>
      <c r="AP18" s="118"/>
      <c r="AQ18" s="118"/>
      <c r="AR18" s="118"/>
      <c r="AS18" s="118"/>
      <c r="AT18" s="118"/>
      <c r="AU18" s="118"/>
      <c r="AV18" s="118"/>
      <c r="AW18" s="118"/>
      <c r="AX18" s="118"/>
      <c r="AY18" s="118"/>
      <c r="AZ18" s="118"/>
      <c r="BA18" s="118"/>
      <c r="BB18" s="118"/>
      <c r="BC18" s="118"/>
      <c r="BD18" s="118"/>
      <c r="BE18" s="118"/>
      <c r="BF18" s="118"/>
      <c r="BG18" s="118"/>
      <c r="BH18" s="118"/>
      <c r="BI18" s="118"/>
      <c r="BJ18" s="118"/>
      <c r="BK18" s="118"/>
      <c r="BL18" s="118"/>
      <c r="BM18" s="118"/>
      <c r="BN18" s="118"/>
      <c r="BO18" s="118"/>
      <c r="BP18" s="118"/>
      <c r="BQ18" s="118"/>
      <c r="BR18" s="135"/>
    </row>
    <row r="19" spans="1:70" x14ac:dyDescent="0.25">
      <c r="A19" s="286" t="s">
        <v>606</v>
      </c>
      <c r="B19" s="55"/>
      <c r="C19" s="54"/>
      <c r="D19" s="54"/>
      <c r="E19" s="183"/>
      <c r="F19" s="54">
        <v>1</v>
      </c>
      <c r="G19" s="54">
        <v>2</v>
      </c>
      <c r="H19" s="54">
        <v>1</v>
      </c>
      <c r="I19" s="54">
        <v>2</v>
      </c>
      <c r="J19" s="54">
        <v>1</v>
      </c>
      <c r="K19" s="54">
        <v>2</v>
      </c>
      <c r="L19" s="751">
        <v>2</v>
      </c>
      <c r="M19" s="54">
        <v>3.4</v>
      </c>
      <c r="N19" s="54">
        <v>3</v>
      </c>
      <c r="O19" s="54">
        <v>4</v>
      </c>
      <c r="P19" s="54">
        <v>5.3</v>
      </c>
      <c r="Q19" s="54">
        <v>3.4</v>
      </c>
      <c r="R19" s="54">
        <v>4.9000000000000004</v>
      </c>
      <c r="S19" s="111"/>
      <c r="T19" s="111"/>
      <c r="U19" s="111"/>
      <c r="V19" s="43"/>
      <c r="W19" s="43"/>
      <c r="X19" s="43"/>
      <c r="Y19" s="43"/>
      <c r="Z19" s="43"/>
      <c r="AA19" s="43"/>
      <c r="AB19" s="43"/>
      <c r="AC19" s="43"/>
      <c r="AD19" s="43"/>
      <c r="AE19" s="43"/>
      <c r="AF19" s="43"/>
      <c r="AG19" s="43"/>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183"/>
    </row>
    <row r="20" spans="1:70" x14ac:dyDescent="0.25">
      <c r="A20" s="129"/>
      <c r="B20" s="129"/>
      <c r="C20" s="130"/>
      <c r="D20" s="130"/>
      <c r="E20" s="93"/>
      <c r="F20" s="323"/>
      <c r="G20" s="323"/>
      <c r="H20" s="323"/>
      <c r="I20" s="323"/>
      <c r="J20" s="323"/>
      <c r="K20" s="323"/>
      <c r="L20" s="743"/>
      <c r="M20" s="323"/>
      <c r="N20" s="323"/>
      <c r="O20" s="323"/>
      <c r="P20" s="323"/>
      <c r="Q20" s="323"/>
      <c r="R20" s="323"/>
      <c r="S20" s="110"/>
      <c r="T20" s="110"/>
      <c r="U20" s="110"/>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8"/>
      <c r="BI20" s="118"/>
      <c r="BJ20" s="118"/>
      <c r="BK20" s="118"/>
      <c r="BL20" s="118"/>
      <c r="BM20" s="118"/>
      <c r="BN20" s="118"/>
      <c r="BO20" s="118"/>
      <c r="BP20" s="118"/>
      <c r="BQ20" s="118"/>
      <c r="BR20" s="135"/>
    </row>
    <row r="21" spans="1:70" x14ac:dyDescent="0.25">
      <c r="A21" s="118"/>
      <c r="B21" s="231"/>
      <c r="C21" s="156"/>
      <c r="D21" s="156"/>
      <c r="E21" s="118"/>
      <c r="F21" s="157"/>
      <c r="G21" s="157"/>
      <c r="H21" s="157"/>
      <c r="I21" s="157"/>
      <c r="J21" s="157"/>
      <c r="K21" s="157"/>
      <c r="L21" s="750"/>
      <c r="M21" s="157"/>
      <c r="N21" s="157"/>
      <c r="O21" s="157"/>
      <c r="P21" s="157"/>
      <c r="Q21" s="157"/>
      <c r="R21" s="157"/>
      <c r="S21" s="110"/>
      <c r="T21" s="110"/>
      <c r="U21" s="110"/>
      <c r="V21" s="118"/>
      <c r="W21" s="118"/>
      <c r="X21" s="118"/>
      <c r="Y21" s="118"/>
      <c r="Z21" s="118"/>
      <c r="AA21" s="118"/>
      <c r="AB21" s="118"/>
      <c r="AC21" s="118"/>
      <c r="AD21" s="118"/>
      <c r="AE21" s="118"/>
      <c r="AF21" s="118"/>
      <c r="AG21" s="118"/>
      <c r="AH21" s="118"/>
      <c r="AI21" s="118"/>
      <c r="AJ21" s="118"/>
      <c r="AK21" s="118"/>
      <c r="AL21" s="118"/>
      <c r="AM21" s="118"/>
      <c r="AN21" s="118"/>
      <c r="AO21" s="118"/>
      <c r="AP21" s="118"/>
      <c r="AQ21" s="118"/>
      <c r="AR21" s="118"/>
      <c r="AS21" s="118"/>
      <c r="AT21" s="118"/>
      <c r="AU21" s="118"/>
      <c r="AV21" s="118"/>
      <c r="AW21" s="118"/>
      <c r="AX21" s="118"/>
      <c r="AY21" s="118"/>
      <c r="AZ21" s="118"/>
      <c r="BA21" s="118"/>
      <c r="BB21" s="118"/>
      <c r="BC21" s="118"/>
      <c r="BD21" s="118"/>
      <c r="BE21" s="118"/>
      <c r="BF21" s="118"/>
      <c r="BG21" s="118"/>
      <c r="BH21" s="118"/>
      <c r="BI21" s="118"/>
      <c r="BJ21" s="118"/>
      <c r="BK21" s="118"/>
      <c r="BL21" s="118"/>
      <c r="BM21" s="118"/>
      <c r="BN21" s="118"/>
      <c r="BO21" s="118"/>
      <c r="BP21" s="118"/>
      <c r="BQ21" s="118"/>
      <c r="BR21" s="135"/>
    </row>
    <row r="22" spans="1:70" x14ac:dyDescent="0.25">
      <c r="A22" s="174" t="s">
        <v>607</v>
      </c>
      <c r="B22" s="177"/>
      <c r="C22" s="176"/>
      <c r="D22" s="176"/>
      <c r="E22" s="177"/>
      <c r="F22" s="87"/>
      <c r="G22" s="1774" t="s">
        <v>608</v>
      </c>
      <c r="H22" s="1774"/>
      <c r="I22" s="1774"/>
      <c r="J22" s="1774"/>
      <c r="K22" s="1774"/>
      <c r="L22" s="1774"/>
      <c r="M22" s="1774"/>
      <c r="N22" s="1774"/>
      <c r="O22" s="1774"/>
      <c r="P22" s="1774"/>
      <c r="Q22" s="1774"/>
      <c r="R22" s="91"/>
      <c r="S22" s="112"/>
      <c r="T22" s="112"/>
      <c r="U22" s="112"/>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177"/>
    </row>
    <row r="23" spans="1:70" x14ac:dyDescent="0.25">
      <c r="A23" s="129"/>
      <c r="B23" s="130"/>
      <c r="C23" s="130"/>
      <c r="D23" s="130"/>
      <c r="E23" s="130"/>
      <c r="F23" s="323"/>
      <c r="G23" s="323"/>
      <c r="H23" s="323"/>
      <c r="I23" s="323"/>
      <c r="J23" s="323"/>
      <c r="K23" s="323"/>
      <c r="L23" s="743"/>
      <c r="M23" s="323"/>
      <c r="N23" s="323"/>
      <c r="O23" s="323"/>
      <c r="P23" s="323"/>
      <c r="Q23" s="323"/>
      <c r="R23" s="323"/>
      <c r="S23" s="111"/>
      <c r="T23" s="111"/>
      <c r="U23" s="111"/>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135"/>
    </row>
    <row r="24" spans="1:70" x14ac:dyDescent="0.25">
      <c r="A24" s="84"/>
      <c r="B24" s="84"/>
      <c r="C24" s="84"/>
      <c r="D24" s="84"/>
      <c r="E24" s="84"/>
      <c r="F24" s="41"/>
      <c r="G24" s="41"/>
      <c r="H24" s="41"/>
      <c r="I24" s="41"/>
      <c r="J24" s="41"/>
      <c r="K24" s="41"/>
      <c r="L24" s="752"/>
      <c r="M24" s="41"/>
      <c r="N24" s="41"/>
      <c r="O24" s="41"/>
      <c r="P24" s="41"/>
      <c r="Q24" s="41"/>
      <c r="R24" s="41"/>
      <c r="S24" s="111"/>
      <c r="T24" s="111"/>
      <c r="U24" s="111"/>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3"/>
      <c r="BJ24" s="43"/>
      <c r="BK24" s="43"/>
      <c r="BL24" s="43"/>
      <c r="BM24" s="43"/>
      <c r="BN24" s="43"/>
      <c r="BO24" s="43"/>
      <c r="BP24" s="43"/>
      <c r="BQ24" s="43"/>
      <c r="BR24" s="84"/>
    </row>
    <row r="25" spans="1:70" x14ac:dyDescent="0.25">
      <c r="A25" s="56" t="s">
        <v>621</v>
      </c>
      <c r="B25" s="57" t="s">
        <v>551</v>
      </c>
      <c r="C25" s="58"/>
      <c r="D25" s="58"/>
      <c r="E25" s="321"/>
      <c r="F25" s="158">
        <v>25.4</v>
      </c>
      <c r="G25" s="158">
        <v>51.4</v>
      </c>
      <c r="H25" s="158">
        <v>32.700000000000003</v>
      </c>
      <c r="I25" s="158">
        <v>63.2</v>
      </c>
      <c r="J25" s="158">
        <v>29</v>
      </c>
      <c r="K25" s="158">
        <v>56.8</v>
      </c>
      <c r="L25" s="753">
        <v>42.5</v>
      </c>
      <c r="M25" s="158">
        <v>55.4</v>
      </c>
      <c r="N25" s="158">
        <v>65.3</v>
      </c>
      <c r="O25" s="158">
        <v>81.400000000000006</v>
      </c>
      <c r="P25" s="158">
        <v>86.1</v>
      </c>
      <c r="Q25" s="158">
        <v>82.2</v>
      </c>
      <c r="R25" s="158">
        <v>93.1</v>
      </c>
      <c r="S25" s="113"/>
      <c r="T25" s="113"/>
      <c r="U25" s="113"/>
      <c r="V25" s="192"/>
      <c r="W25" s="192"/>
      <c r="X25" s="192"/>
      <c r="Y25" s="192"/>
      <c r="Z25" s="192"/>
      <c r="AA25" s="192"/>
      <c r="AB25" s="192"/>
      <c r="AC25" s="192"/>
      <c r="AD25" s="192"/>
      <c r="AE25" s="192"/>
      <c r="AF25" s="192"/>
      <c r="AG25" s="192"/>
      <c r="AH25" s="192"/>
      <c r="AI25" s="192"/>
      <c r="AJ25" s="192"/>
      <c r="AK25" s="192"/>
      <c r="AL25" s="192"/>
      <c r="AM25" s="192"/>
      <c r="AN25" s="192"/>
      <c r="AO25" s="192"/>
      <c r="AP25" s="192"/>
      <c r="AQ25" s="192"/>
      <c r="AR25" s="192"/>
      <c r="AS25" s="192"/>
      <c r="AT25" s="192"/>
      <c r="AU25" s="192"/>
      <c r="AV25" s="192"/>
      <c r="AW25" s="192"/>
      <c r="AX25" s="192"/>
      <c r="AY25" s="192"/>
      <c r="AZ25" s="192"/>
      <c r="BA25" s="192"/>
      <c r="BB25" s="192"/>
      <c r="BC25" s="192"/>
      <c r="BD25" s="192"/>
      <c r="BE25" s="192"/>
      <c r="BF25" s="192"/>
      <c r="BG25" s="192"/>
      <c r="BH25" s="192"/>
      <c r="BI25" s="192"/>
      <c r="BJ25" s="192"/>
      <c r="BK25" s="192"/>
      <c r="BL25" s="192"/>
      <c r="BM25" s="192"/>
      <c r="BN25" s="192"/>
      <c r="BO25" s="192"/>
      <c r="BP25" s="192"/>
      <c r="BQ25" s="192"/>
      <c r="BR25" s="321"/>
    </row>
    <row r="26" spans="1:70" x14ac:dyDescent="0.25">
      <c r="A26" s="59"/>
      <c r="B26" s="60"/>
      <c r="C26" s="61"/>
      <c r="D26" s="61"/>
      <c r="E26" s="64"/>
      <c r="F26" s="62"/>
      <c r="G26" s="62"/>
      <c r="H26" s="62"/>
      <c r="I26" s="62"/>
      <c r="J26" s="62"/>
      <c r="K26" s="62"/>
      <c r="L26" s="754"/>
      <c r="M26" s="62"/>
      <c r="N26" s="62"/>
      <c r="O26" s="62"/>
      <c r="P26" s="62"/>
      <c r="Q26" s="62"/>
      <c r="R26" s="62"/>
      <c r="S26" s="114"/>
      <c r="T26" s="114"/>
      <c r="U26" s="114"/>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4"/>
    </row>
    <row r="27" spans="1:70" x14ac:dyDescent="0.25">
      <c r="A27" s="56" t="s">
        <v>622</v>
      </c>
      <c r="B27" s="57" t="s">
        <v>623</v>
      </c>
      <c r="C27" s="58"/>
      <c r="D27" s="58"/>
      <c r="E27" s="321"/>
      <c r="F27" s="158">
        <v>4.3</v>
      </c>
      <c r="G27" s="158">
        <v>9.4</v>
      </c>
      <c r="H27" s="158">
        <v>6.6</v>
      </c>
      <c r="I27" s="158">
        <v>11.3</v>
      </c>
      <c r="J27" s="158">
        <v>8.6999999999999993</v>
      </c>
      <c r="K27" s="158">
        <v>13.8</v>
      </c>
      <c r="L27" s="753">
        <v>6</v>
      </c>
      <c r="M27" s="158">
        <v>7.5</v>
      </c>
      <c r="N27" s="158">
        <v>10.9</v>
      </c>
      <c r="O27" s="158">
        <v>12.5</v>
      </c>
      <c r="P27" s="158">
        <v>11.3</v>
      </c>
      <c r="Q27" s="158">
        <v>17.7</v>
      </c>
      <c r="R27" s="158">
        <v>16.5</v>
      </c>
      <c r="S27" s="113"/>
      <c r="T27" s="113"/>
      <c r="U27" s="113"/>
      <c r="V27" s="192"/>
      <c r="W27" s="192"/>
      <c r="X27" s="192"/>
      <c r="Y27" s="192"/>
      <c r="Z27" s="192"/>
      <c r="AA27" s="192"/>
      <c r="AB27" s="192"/>
      <c r="AC27" s="192"/>
      <c r="AD27" s="192"/>
      <c r="AE27" s="192"/>
      <c r="AF27" s="192"/>
      <c r="AG27" s="192"/>
      <c r="AH27" s="192"/>
      <c r="AI27" s="192"/>
      <c r="AJ27" s="192"/>
      <c r="AK27" s="192"/>
      <c r="AL27" s="192"/>
      <c r="AM27" s="192"/>
      <c r="AN27" s="192"/>
      <c r="AO27" s="192"/>
      <c r="AP27" s="192"/>
      <c r="AQ27" s="192"/>
      <c r="AR27" s="192"/>
      <c r="AS27" s="192"/>
      <c r="AT27" s="192"/>
      <c r="AU27" s="192"/>
      <c r="AV27" s="192"/>
      <c r="AW27" s="192"/>
      <c r="AX27" s="192"/>
      <c r="AY27" s="192"/>
      <c r="AZ27" s="192"/>
      <c r="BA27" s="192"/>
      <c r="BB27" s="192"/>
      <c r="BC27" s="192"/>
      <c r="BD27" s="192"/>
      <c r="BE27" s="192"/>
      <c r="BF27" s="192"/>
      <c r="BG27" s="192"/>
      <c r="BH27" s="192"/>
      <c r="BI27" s="192"/>
      <c r="BJ27" s="192"/>
      <c r="BK27" s="192"/>
      <c r="BL27" s="192"/>
      <c r="BM27" s="192"/>
      <c r="BN27" s="192"/>
      <c r="BO27" s="192"/>
      <c r="BP27" s="192"/>
      <c r="BQ27" s="192"/>
      <c r="BR27" s="321"/>
    </row>
    <row r="28" spans="1:70" x14ac:dyDescent="0.25">
      <c r="A28" s="59"/>
      <c r="B28" s="60"/>
      <c r="C28" s="61"/>
      <c r="D28" s="61"/>
      <c r="E28" s="64"/>
      <c r="F28" s="62"/>
      <c r="G28" s="62"/>
      <c r="H28" s="62"/>
      <c r="I28" s="62"/>
      <c r="J28" s="62"/>
      <c r="K28" s="62"/>
      <c r="L28" s="754"/>
      <c r="M28" s="62"/>
      <c r="N28" s="62"/>
      <c r="O28" s="62"/>
      <c r="P28" s="62"/>
      <c r="Q28" s="62"/>
      <c r="R28" s="62"/>
      <c r="S28" s="114"/>
      <c r="T28" s="114"/>
      <c r="U28" s="114"/>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4"/>
    </row>
    <row r="29" spans="1:70" x14ac:dyDescent="0.25">
      <c r="A29" s="56" t="s">
        <v>624</v>
      </c>
      <c r="B29" s="321" t="s">
        <v>554</v>
      </c>
      <c r="C29" s="58"/>
      <c r="D29" s="58"/>
      <c r="E29" s="321"/>
      <c r="F29" s="158">
        <v>4.5</v>
      </c>
      <c r="G29" s="158">
        <v>12.4</v>
      </c>
      <c r="H29" s="158">
        <v>7.8</v>
      </c>
      <c r="I29" s="158">
        <v>18.2</v>
      </c>
      <c r="J29" s="158">
        <v>8.5</v>
      </c>
      <c r="K29" s="158">
        <v>25.8</v>
      </c>
      <c r="L29" s="753">
        <v>21</v>
      </c>
      <c r="M29" s="158">
        <v>22.9</v>
      </c>
      <c r="N29" s="158">
        <v>29.6</v>
      </c>
      <c r="O29" s="158">
        <v>32.799999999999997</v>
      </c>
      <c r="P29" s="158">
        <v>39.299999999999997</v>
      </c>
      <c r="Q29" s="158">
        <v>44.9</v>
      </c>
      <c r="R29" s="158">
        <v>48</v>
      </c>
      <c r="S29" s="113"/>
      <c r="T29" s="113"/>
      <c r="U29" s="113"/>
      <c r="V29" s="192"/>
      <c r="W29" s="192"/>
      <c r="X29" s="192"/>
      <c r="Y29" s="192"/>
      <c r="Z29" s="192"/>
      <c r="AA29" s="192"/>
      <c r="AB29" s="192"/>
      <c r="AC29" s="192"/>
      <c r="AD29" s="192"/>
      <c r="AE29" s="192"/>
      <c r="AF29" s="192"/>
      <c r="AG29" s="192"/>
      <c r="AH29" s="192"/>
      <c r="AI29" s="192"/>
      <c r="AJ29" s="192"/>
      <c r="AK29" s="192"/>
      <c r="AL29" s="192"/>
      <c r="AM29" s="192"/>
      <c r="AN29" s="192"/>
      <c r="AO29" s="192"/>
      <c r="AP29" s="192"/>
      <c r="AQ29" s="192"/>
      <c r="AR29" s="192"/>
      <c r="AS29" s="192"/>
      <c r="AT29" s="192"/>
      <c r="AU29" s="192"/>
      <c r="AV29" s="192"/>
      <c r="AW29" s="192"/>
      <c r="AX29" s="192"/>
      <c r="AY29" s="192"/>
      <c r="AZ29" s="192"/>
      <c r="BA29" s="192"/>
      <c r="BB29" s="192"/>
      <c r="BC29" s="192"/>
      <c r="BD29" s="192"/>
      <c r="BE29" s="192"/>
      <c r="BF29" s="192"/>
      <c r="BG29" s="192"/>
      <c r="BH29" s="192"/>
      <c r="BI29" s="192"/>
      <c r="BJ29" s="192"/>
      <c r="BK29" s="192"/>
      <c r="BL29" s="192"/>
      <c r="BM29" s="192"/>
      <c r="BN29" s="192"/>
      <c r="BO29" s="192"/>
      <c r="BP29" s="192"/>
      <c r="BQ29" s="192"/>
      <c r="BR29" s="321"/>
    </row>
    <row r="30" spans="1:70" x14ac:dyDescent="0.25">
      <c r="A30" s="59"/>
      <c r="B30" s="60"/>
      <c r="C30" s="61"/>
      <c r="D30" s="61"/>
      <c r="E30" s="64"/>
      <c r="F30" s="62"/>
      <c r="G30" s="62"/>
      <c r="H30" s="62"/>
      <c r="I30" s="62"/>
      <c r="J30" s="62"/>
      <c r="K30" s="62"/>
      <c r="L30" s="754"/>
      <c r="M30" s="62"/>
      <c r="N30" s="62"/>
      <c r="O30" s="62"/>
      <c r="P30" s="62"/>
      <c r="Q30" s="62"/>
      <c r="R30" s="62"/>
      <c r="S30" s="114"/>
      <c r="T30" s="114"/>
      <c r="U30" s="114"/>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c r="BJ30" s="63"/>
      <c r="BK30" s="63"/>
      <c r="BL30" s="63"/>
      <c r="BM30" s="63"/>
      <c r="BN30" s="63"/>
      <c r="BO30" s="63"/>
      <c r="BP30" s="63"/>
      <c r="BQ30" s="63"/>
      <c r="BR30" s="64"/>
    </row>
    <row r="31" spans="1:70" x14ac:dyDescent="0.25">
      <c r="A31" s="56" t="s">
        <v>625</v>
      </c>
      <c r="B31" s="57" t="s">
        <v>644</v>
      </c>
      <c r="C31" s="58"/>
      <c r="D31" s="58"/>
      <c r="E31" s="321"/>
      <c r="F31" s="158">
        <v>43.9</v>
      </c>
      <c r="G31" s="158">
        <v>52.4</v>
      </c>
      <c r="H31" s="158">
        <v>40.4</v>
      </c>
      <c r="I31" s="158">
        <v>55.1</v>
      </c>
      <c r="J31" s="158">
        <v>66.3</v>
      </c>
      <c r="K31" s="158">
        <v>85.8</v>
      </c>
      <c r="L31" s="753">
        <v>71.599999999999994</v>
      </c>
      <c r="M31" s="158">
        <v>72.7</v>
      </c>
      <c r="N31" s="158">
        <v>88.1</v>
      </c>
      <c r="O31" s="158">
        <v>80.3</v>
      </c>
      <c r="P31" s="158">
        <v>89.2</v>
      </c>
      <c r="Q31" s="158">
        <v>91.2</v>
      </c>
      <c r="R31" s="158">
        <v>70.3</v>
      </c>
      <c r="S31" s="113"/>
      <c r="T31" s="113"/>
      <c r="U31" s="113"/>
      <c r="V31" s="192"/>
      <c r="W31" s="192"/>
      <c r="X31" s="192"/>
      <c r="Y31" s="192"/>
      <c r="Z31" s="192"/>
      <c r="AA31" s="192"/>
      <c r="AB31" s="192"/>
      <c r="AC31" s="192"/>
      <c r="AD31" s="192"/>
      <c r="AE31" s="192"/>
      <c r="AF31" s="192"/>
      <c r="AG31" s="192"/>
      <c r="AH31" s="192"/>
      <c r="AI31" s="192"/>
      <c r="AJ31" s="192"/>
      <c r="AK31" s="192"/>
      <c r="AL31" s="192"/>
      <c r="AM31" s="192"/>
      <c r="AN31" s="192"/>
      <c r="AO31" s="192"/>
      <c r="AP31" s="192"/>
      <c r="AQ31" s="192"/>
      <c r="AR31" s="192"/>
      <c r="AS31" s="192"/>
      <c r="AT31" s="192"/>
      <c r="AU31" s="192"/>
      <c r="AV31" s="192"/>
      <c r="AW31" s="192"/>
      <c r="AX31" s="192"/>
      <c r="AY31" s="192"/>
      <c r="AZ31" s="192"/>
      <c r="BA31" s="192"/>
      <c r="BB31" s="192"/>
      <c r="BC31" s="192"/>
      <c r="BD31" s="192"/>
      <c r="BE31" s="192"/>
      <c r="BF31" s="192"/>
      <c r="BG31" s="192"/>
      <c r="BH31" s="192"/>
      <c r="BI31" s="192"/>
      <c r="BJ31" s="192"/>
      <c r="BK31" s="192"/>
      <c r="BL31" s="192"/>
      <c r="BM31" s="192"/>
      <c r="BN31" s="192"/>
      <c r="BO31" s="192"/>
      <c r="BP31" s="192"/>
      <c r="BQ31" s="192"/>
      <c r="BR31" s="321"/>
    </row>
    <row r="32" spans="1:70" x14ac:dyDescent="0.25">
      <c r="A32" s="59"/>
      <c r="B32" s="60"/>
      <c r="C32" s="61"/>
      <c r="D32" s="61"/>
      <c r="E32" s="64"/>
      <c r="F32" s="62"/>
      <c r="G32" s="62"/>
      <c r="H32" s="62"/>
      <c r="I32" s="62"/>
      <c r="J32" s="62"/>
      <c r="K32" s="62"/>
      <c r="L32" s="754"/>
      <c r="M32" s="62"/>
      <c r="N32" s="62"/>
      <c r="O32" s="62"/>
      <c r="P32" s="62"/>
      <c r="Q32" s="62"/>
      <c r="R32" s="62"/>
      <c r="S32" s="114"/>
      <c r="T32" s="114"/>
      <c r="U32" s="114"/>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4"/>
    </row>
    <row r="33" spans="1:69" x14ac:dyDescent="0.25">
      <c r="A33" s="56" t="s">
        <v>627</v>
      </c>
      <c r="B33" s="57" t="s">
        <v>628</v>
      </c>
      <c r="C33" s="58"/>
      <c r="D33" s="58"/>
      <c r="E33" s="321"/>
      <c r="F33" s="158">
        <v>13.6</v>
      </c>
      <c r="G33" s="158">
        <v>23.1</v>
      </c>
      <c r="H33" s="158">
        <v>21.8</v>
      </c>
      <c r="I33" s="158">
        <v>36.5</v>
      </c>
      <c r="J33" s="158">
        <v>19.2</v>
      </c>
      <c r="K33" s="158">
        <v>42.8</v>
      </c>
      <c r="L33" s="753">
        <v>23.7</v>
      </c>
      <c r="M33" s="158">
        <v>23.6</v>
      </c>
      <c r="N33" s="158">
        <v>45.2</v>
      </c>
      <c r="O33" s="158">
        <v>48.3</v>
      </c>
      <c r="P33" s="158">
        <v>53.5</v>
      </c>
      <c r="Q33" s="158">
        <v>47.2</v>
      </c>
      <c r="R33" s="158">
        <v>35.6</v>
      </c>
      <c r="S33" s="113"/>
      <c r="T33" s="113"/>
      <c r="U33" s="113"/>
      <c r="V33" s="192"/>
      <c r="W33" s="192"/>
      <c r="X33" s="192"/>
      <c r="Y33" s="192"/>
      <c r="Z33" s="192"/>
      <c r="AA33" s="192"/>
      <c r="AB33" s="192"/>
      <c r="AC33" s="192"/>
      <c r="AD33" s="192"/>
      <c r="AE33" s="192"/>
      <c r="AF33" s="192"/>
      <c r="AG33" s="192"/>
      <c r="AH33" s="192"/>
      <c r="AI33" s="192"/>
      <c r="AJ33" s="192"/>
      <c r="AK33" s="192"/>
      <c r="AL33" s="192"/>
      <c r="AM33" s="192"/>
      <c r="AN33" s="192"/>
      <c r="AO33" s="192"/>
      <c r="AP33" s="192"/>
      <c r="AQ33" s="192"/>
      <c r="AR33" s="192"/>
      <c r="AS33" s="192"/>
      <c r="AT33" s="192"/>
      <c r="AU33" s="192"/>
      <c r="AV33" s="192"/>
      <c r="AW33" s="192"/>
      <c r="AX33" s="192"/>
      <c r="AY33" s="192"/>
      <c r="AZ33" s="192"/>
      <c r="BA33" s="192"/>
      <c r="BB33" s="192"/>
      <c r="BC33" s="192"/>
      <c r="BD33" s="192"/>
      <c r="BE33" s="192"/>
      <c r="BF33" s="192"/>
      <c r="BG33" s="192"/>
      <c r="BH33" s="192"/>
      <c r="BI33" s="192"/>
      <c r="BJ33" s="192"/>
      <c r="BK33" s="192"/>
      <c r="BL33" s="192"/>
      <c r="BM33" s="192"/>
      <c r="BN33" s="192"/>
      <c r="BO33" s="192"/>
      <c r="BP33" s="192"/>
      <c r="BQ33" s="192"/>
    </row>
    <row r="34" spans="1:69" x14ac:dyDescent="0.25">
      <c r="A34" s="59"/>
      <c r="B34" s="60"/>
      <c r="C34" s="61"/>
      <c r="D34" s="61"/>
      <c r="E34" s="64"/>
      <c r="F34" s="62"/>
      <c r="G34" s="62"/>
      <c r="H34" s="62"/>
      <c r="I34" s="62"/>
      <c r="J34" s="62"/>
      <c r="K34" s="62"/>
      <c r="L34" s="754"/>
      <c r="M34" s="62"/>
      <c r="N34" s="62"/>
      <c r="O34" s="62"/>
      <c r="P34" s="62"/>
      <c r="Q34" s="62"/>
      <c r="R34" s="62"/>
      <c r="S34" s="114"/>
      <c r="T34" s="114"/>
      <c r="U34" s="114"/>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row>
    <row r="35" spans="1:69" x14ac:dyDescent="0.25">
      <c r="A35" s="56" t="s">
        <v>629</v>
      </c>
      <c r="B35" s="57" t="s">
        <v>515</v>
      </c>
      <c r="C35" s="58"/>
      <c r="D35" s="58"/>
      <c r="E35" s="321"/>
      <c r="F35" s="158">
        <v>3.3</v>
      </c>
      <c r="G35" s="158">
        <v>3.8</v>
      </c>
      <c r="H35" s="158">
        <v>5.0999999999999996</v>
      </c>
      <c r="I35" s="158">
        <v>13.8</v>
      </c>
      <c r="J35" s="158">
        <v>3.4</v>
      </c>
      <c r="K35" s="158">
        <v>9.1</v>
      </c>
      <c r="L35" s="753">
        <v>1.1000000000000001</v>
      </c>
      <c r="M35" s="158">
        <v>2.8</v>
      </c>
      <c r="N35" s="158">
        <v>4.4000000000000004</v>
      </c>
      <c r="O35" s="158">
        <v>10</v>
      </c>
      <c r="P35" s="158">
        <v>4.0999999999999996</v>
      </c>
      <c r="Q35" s="158">
        <v>10.3</v>
      </c>
      <c r="R35" s="158">
        <v>5.7</v>
      </c>
      <c r="S35" s="113"/>
      <c r="T35" s="113"/>
      <c r="U35" s="113"/>
      <c r="V35" s="192"/>
      <c r="W35" s="192"/>
      <c r="X35" s="192"/>
      <c r="Y35" s="192"/>
      <c r="Z35" s="192"/>
      <c r="AA35" s="192"/>
      <c r="AB35" s="192"/>
      <c r="AC35" s="192"/>
      <c r="AD35" s="192"/>
      <c r="AE35" s="192"/>
      <c r="AF35" s="192"/>
      <c r="AG35" s="192"/>
      <c r="AH35" s="192"/>
      <c r="AI35" s="192"/>
      <c r="AJ35" s="192"/>
      <c r="AK35" s="192"/>
      <c r="AL35" s="192"/>
      <c r="AM35" s="192"/>
      <c r="AN35" s="192"/>
      <c r="AO35" s="192"/>
      <c r="AP35" s="192"/>
      <c r="AQ35" s="192"/>
      <c r="AR35" s="192"/>
      <c r="AS35" s="192"/>
      <c r="AT35" s="192"/>
      <c r="AU35" s="192"/>
      <c r="AV35" s="192"/>
      <c r="AW35" s="192"/>
      <c r="AX35" s="192"/>
      <c r="AY35" s="192"/>
      <c r="AZ35" s="192"/>
      <c r="BA35" s="192"/>
      <c r="BB35" s="192"/>
      <c r="BC35" s="192"/>
      <c r="BD35" s="192"/>
      <c r="BE35" s="192"/>
      <c r="BF35" s="192"/>
      <c r="BG35" s="192"/>
      <c r="BH35" s="192"/>
      <c r="BI35" s="192"/>
      <c r="BJ35" s="192"/>
      <c r="BK35" s="192"/>
      <c r="BL35" s="192"/>
      <c r="BM35" s="192"/>
      <c r="BN35" s="192"/>
      <c r="BO35" s="192"/>
      <c r="BP35" s="192"/>
      <c r="BQ35" s="192"/>
    </row>
    <row r="36" spans="1:69" x14ac:dyDescent="0.25">
      <c r="A36" s="59"/>
      <c r="B36" s="60"/>
      <c r="C36" s="61"/>
      <c r="D36" s="61"/>
      <c r="E36" s="64"/>
      <c r="F36" s="62"/>
      <c r="G36" s="62"/>
      <c r="H36" s="62"/>
      <c r="I36" s="62"/>
      <c r="J36" s="62"/>
      <c r="K36" s="62"/>
      <c r="L36" s="754"/>
      <c r="M36" s="62"/>
      <c r="N36" s="62"/>
      <c r="O36" s="62"/>
      <c r="P36" s="62"/>
      <c r="Q36" s="62"/>
      <c r="R36" s="62"/>
      <c r="S36" s="114"/>
      <c r="T36" s="114"/>
      <c r="U36" s="114"/>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row>
    <row r="37" spans="1:69" x14ac:dyDescent="0.25">
      <c r="A37" s="56" t="s">
        <v>630</v>
      </c>
      <c r="B37" s="57" t="s">
        <v>516</v>
      </c>
      <c r="C37" s="58"/>
      <c r="D37" s="58"/>
      <c r="E37" s="321"/>
      <c r="F37" s="158">
        <v>9</v>
      </c>
      <c r="G37" s="158">
        <v>34.5</v>
      </c>
      <c r="H37" s="158">
        <v>28</v>
      </c>
      <c r="I37" s="158">
        <v>63.8</v>
      </c>
      <c r="J37" s="158">
        <v>36.200000000000003</v>
      </c>
      <c r="K37" s="158">
        <v>95</v>
      </c>
      <c r="L37" s="753">
        <v>30.4</v>
      </c>
      <c r="M37" s="158">
        <v>32.1</v>
      </c>
      <c r="N37" s="158">
        <v>92</v>
      </c>
      <c r="O37" s="158">
        <v>102.9</v>
      </c>
      <c r="P37" s="158">
        <v>91.1</v>
      </c>
      <c r="Q37" s="158">
        <v>119.1</v>
      </c>
      <c r="R37" s="158">
        <v>115.6</v>
      </c>
      <c r="S37" s="113"/>
      <c r="T37" s="113"/>
      <c r="U37" s="113"/>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192"/>
      <c r="AZ37" s="192"/>
      <c r="BA37" s="192"/>
      <c r="BB37" s="192"/>
      <c r="BC37" s="192"/>
      <c r="BD37" s="192"/>
      <c r="BE37" s="192"/>
      <c r="BF37" s="192"/>
      <c r="BG37" s="192"/>
      <c r="BH37" s="192"/>
      <c r="BI37" s="192"/>
      <c r="BJ37" s="192"/>
      <c r="BK37" s="192"/>
      <c r="BL37" s="192"/>
      <c r="BM37" s="192"/>
      <c r="BN37" s="192"/>
      <c r="BO37" s="192"/>
      <c r="BP37" s="192"/>
      <c r="BQ37" s="192"/>
    </row>
    <row r="38" spans="1:69" x14ac:dyDescent="0.25">
      <c r="A38" s="59"/>
      <c r="B38" s="60"/>
      <c r="C38" s="61"/>
      <c r="D38" s="61"/>
      <c r="E38" s="64"/>
      <c r="F38" s="62"/>
      <c r="G38" s="62"/>
      <c r="H38" s="62"/>
      <c r="I38" s="62"/>
      <c r="J38" s="62"/>
      <c r="K38" s="62"/>
      <c r="L38" s="754"/>
      <c r="M38" s="62"/>
      <c r="N38" s="62"/>
      <c r="O38" s="62"/>
      <c r="P38" s="62"/>
      <c r="Q38" s="62"/>
      <c r="R38" s="62"/>
      <c r="S38" s="114"/>
      <c r="T38" s="114"/>
      <c r="U38" s="114"/>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row>
    <row r="39" spans="1:69" x14ac:dyDescent="0.25">
      <c r="A39" s="56" t="s">
        <v>631</v>
      </c>
      <c r="B39" s="57" t="s">
        <v>517</v>
      </c>
      <c r="C39" s="58"/>
      <c r="D39" s="58"/>
      <c r="E39" s="321"/>
      <c r="F39" s="158">
        <v>6.3</v>
      </c>
      <c r="G39" s="158">
        <v>10.4</v>
      </c>
      <c r="H39" s="158">
        <v>8.5</v>
      </c>
      <c r="I39" s="158">
        <v>12.4</v>
      </c>
      <c r="J39" s="158">
        <v>10.4</v>
      </c>
      <c r="K39" s="158">
        <v>17.5</v>
      </c>
      <c r="L39" s="753">
        <v>12.3</v>
      </c>
      <c r="M39" s="158">
        <v>17.5</v>
      </c>
      <c r="N39" s="158">
        <v>21.3</v>
      </c>
      <c r="O39" s="158">
        <v>20.7</v>
      </c>
      <c r="P39" s="158">
        <v>22.9</v>
      </c>
      <c r="Q39" s="158">
        <v>22.4</v>
      </c>
      <c r="R39" s="158">
        <v>27.3</v>
      </c>
      <c r="S39" s="113"/>
      <c r="T39" s="113"/>
      <c r="U39" s="113"/>
      <c r="V39" s="192"/>
      <c r="W39" s="192"/>
      <c r="X39" s="192"/>
      <c r="Y39" s="192"/>
      <c r="Z39" s="192"/>
      <c r="AA39" s="192"/>
      <c r="AB39" s="192"/>
      <c r="AC39" s="192"/>
      <c r="AD39" s="192"/>
      <c r="AE39" s="192"/>
      <c r="AF39" s="192"/>
      <c r="AG39" s="192"/>
      <c r="AH39" s="192"/>
      <c r="AI39" s="192"/>
      <c r="AJ39" s="192"/>
      <c r="AK39" s="192"/>
      <c r="AL39" s="192"/>
      <c r="AM39" s="192"/>
      <c r="AN39" s="192"/>
      <c r="AO39" s="192"/>
      <c r="AP39" s="192"/>
      <c r="AQ39" s="192"/>
      <c r="AR39" s="192"/>
      <c r="AS39" s="192"/>
      <c r="AT39" s="192"/>
      <c r="AU39" s="192"/>
      <c r="AV39" s="192"/>
      <c r="AW39" s="192"/>
      <c r="AX39" s="192"/>
      <c r="AY39" s="192"/>
      <c r="AZ39" s="192"/>
      <c r="BA39" s="192"/>
      <c r="BB39" s="192"/>
      <c r="BC39" s="192"/>
      <c r="BD39" s="192"/>
      <c r="BE39" s="192"/>
      <c r="BF39" s="192"/>
      <c r="BG39" s="192"/>
      <c r="BH39" s="192"/>
      <c r="BI39" s="192"/>
      <c r="BJ39" s="192"/>
      <c r="BK39" s="192"/>
      <c r="BL39" s="192"/>
      <c r="BM39" s="192"/>
      <c r="BN39" s="192"/>
      <c r="BO39" s="192"/>
      <c r="BP39" s="192"/>
      <c r="BQ39" s="192"/>
    </row>
    <row r="40" spans="1:69" x14ac:dyDescent="0.25">
      <c r="A40" s="59"/>
      <c r="B40" s="60"/>
      <c r="C40" s="61"/>
      <c r="D40" s="61"/>
      <c r="E40" s="64"/>
      <c r="F40" s="62"/>
      <c r="G40" s="62"/>
      <c r="H40" s="62"/>
      <c r="I40" s="62"/>
      <c r="J40" s="62"/>
      <c r="K40" s="62"/>
      <c r="L40" s="754"/>
      <c r="M40" s="62"/>
      <c r="N40" s="62"/>
      <c r="O40" s="62"/>
      <c r="P40" s="62"/>
      <c r="Q40" s="62"/>
      <c r="R40" s="62"/>
      <c r="S40" s="114"/>
      <c r="T40" s="114"/>
      <c r="U40" s="114"/>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BO40" s="63"/>
      <c r="BP40" s="63"/>
      <c r="BQ40" s="63"/>
    </row>
    <row r="41" spans="1:69" x14ac:dyDescent="0.25">
      <c r="A41" s="56" t="s">
        <v>632</v>
      </c>
      <c r="B41" s="57" t="s">
        <v>569</v>
      </c>
      <c r="C41" s="58"/>
      <c r="D41" s="58"/>
      <c r="E41" s="321"/>
      <c r="F41" s="158">
        <v>18.3</v>
      </c>
      <c r="G41" s="158">
        <v>47.9</v>
      </c>
      <c r="H41" s="158">
        <v>32</v>
      </c>
      <c r="I41" s="158">
        <v>84.6</v>
      </c>
      <c r="J41" s="158">
        <v>32.5</v>
      </c>
      <c r="K41" s="158">
        <v>85.4</v>
      </c>
      <c r="L41" s="753">
        <v>39.5</v>
      </c>
      <c r="M41" s="158">
        <v>46.9</v>
      </c>
      <c r="N41" s="158">
        <v>73.5</v>
      </c>
      <c r="O41" s="158">
        <v>93.6</v>
      </c>
      <c r="P41" s="158">
        <v>95.1</v>
      </c>
      <c r="Q41" s="158">
        <v>89</v>
      </c>
      <c r="R41" s="158">
        <v>95.9</v>
      </c>
      <c r="S41" s="113"/>
      <c r="T41" s="113"/>
      <c r="U41" s="113"/>
      <c r="V41" s="192"/>
      <c r="W41" s="192"/>
      <c r="X41" s="192"/>
      <c r="Y41" s="192"/>
      <c r="Z41" s="192"/>
      <c r="AA41" s="192"/>
      <c r="AB41" s="192"/>
      <c r="AC41" s="192"/>
      <c r="AD41" s="192"/>
      <c r="AE41" s="192"/>
      <c r="AF41" s="192"/>
      <c r="AG41" s="192"/>
      <c r="AH41" s="192"/>
      <c r="AI41" s="192"/>
      <c r="AJ41" s="192"/>
      <c r="AK41" s="192"/>
      <c r="AL41" s="192"/>
      <c r="AM41" s="192"/>
      <c r="AN41" s="192"/>
      <c r="AO41" s="192"/>
      <c r="AP41" s="192"/>
      <c r="AQ41" s="192"/>
      <c r="AR41" s="192"/>
      <c r="AS41" s="192"/>
      <c r="AT41" s="192"/>
      <c r="AU41" s="192"/>
      <c r="AV41" s="192"/>
      <c r="AW41" s="192"/>
      <c r="AX41" s="192"/>
      <c r="AY41" s="192"/>
      <c r="AZ41" s="192"/>
      <c r="BA41" s="192"/>
      <c r="BB41" s="192"/>
      <c r="BC41" s="192"/>
      <c r="BD41" s="192"/>
      <c r="BE41" s="192"/>
      <c r="BF41" s="192"/>
      <c r="BG41" s="192"/>
      <c r="BH41" s="192"/>
      <c r="BI41" s="192"/>
      <c r="BJ41" s="192"/>
      <c r="BK41" s="192"/>
      <c r="BL41" s="192"/>
      <c r="BM41" s="192"/>
      <c r="BN41" s="192"/>
      <c r="BO41" s="192"/>
      <c r="BP41" s="192"/>
      <c r="BQ41" s="192"/>
    </row>
    <row r="42" spans="1:69" x14ac:dyDescent="0.25">
      <c r="A42" s="59"/>
      <c r="B42" s="60"/>
      <c r="C42" s="61"/>
      <c r="D42" s="61"/>
      <c r="E42" s="64"/>
      <c r="F42" s="62"/>
      <c r="G42" s="62"/>
      <c r="H42" s="62"/>
      <c r="I42" s="62"/>
      <c r="J42" s="62"/>
      <c r="K42" s="62"/>
      <c r="L42" s="754"/>
      <c r="M42" s="62"/>
      <c r="N42" s="62"/>
      <c r="O42" s="62"/>
      <c r="P42" s="62"/>
      <c r="Q42" s="62"/>
      <c r="R42" s="62"/>
      <c r="S42" s="114"/>
      <c r="T42" s="114"/>
      <c r="U42" s="114"/>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row>
    <row r="43" spans="1:69" x14ac:dyDescent="0.25">
      <c r="A43" s="56" t="s">
        <v>633</v>
      </c>
      <c r="B43" s="57" t="s">
        <v>519</v>
      </c>
      <c r="C43" s="58"/>
      <c r="D43" s="58"/>
      <c r="E43" s="321"/>
      <c r="F43" s="377" t="s">
        <v>645</v>
      </c>
      <c r="G43" s="377" t="s">
        <v>645</v>
      </c>
      <c r="H43" s="377">
        <v>0.1</v>
      </c>
      <c r="I43" s="377">
        <v>1.1000000000000001</v>
      </c>
      <c r="J43" s="377">
        <v>1.1000000000000001</v>
      </c>
      <c r="K43" s="158">
        <v>7.7</v>
      </c>
      <c r="L43" s="755">
        <v>2.2000000000000002</v>
      </c>
      <c r="M43" s="377">
        <v>12.5</v>
      </c>
      <c r="N43" s="158">
        <v>9.9</v>
      </c>
      <c r="O43" s="158">
        <v>17.2</v>
      </c>
      <c r="P43" s="158">
        <v>23.5</v>
      </c>
      <c r="Q43" s="158">
        <v>14.2</v>
      </c>
      <c r="R43" s="158">
        <v>9.1999999999999993</v>
      </c>
      <c r="S43" s="113"/>
      <c r="T43" s="113"/>
      <c r="U43" s="113"/>
      <c r="V43" s="192"/>
      <c r="W43" s="192"/>
      <c r="X43" s="192"/>
      <c r="Y43" s="192"/>
      <c r="Z43" s="192"/>
      <c r="AA43" s="192"/>
      <c r="AB43" s="192"/>
      <c r="AC43" s="192"/>
      <c r="AD43" s="192"/>
      <c r="AE43" s="192"/>
      <c r="AF43" s="192"/>
      <c r="AG43" s="192"/>
      <c r="AH43" s="192"/>
      <c r="AI43" s="192"/>
      <c r="AJ43" s="192"/>
      <c r="AK43" s="192"/>
      <c r="AL43" s="192"/>
      <c r="AM43" s="192"/>
      <c r="AN43" s="192"/>
      <c r="AO43" s="192"/>
      <c r="AP43" s="192"/>
      <c r="AQ43" s="192"/>
      <c r="AR43" s="192"/>
      <c r="AS43" s="192"/>
      <c r="AT43" s="192"/>
      <c r="AU43" s="192"/>
      <c r="AV43" s="192"/>
      <c r="AW43" s="192"/>
      <c r="AX43" s="192"/>
      <c r="AY43" s="192"/>
      <c r="AZ43" s="192"/>
      <c r="BA43" s="192"/>
      <c r="BB43" s="192"/>
      <c r="BC43" s="192"/>
      <c r="BD43" s="192"/>
      <c r="BE43" s="192"/>
      <c r="BF43" s="192"/>
      <c r="BG43" s="192"/>
      <c r="BH43" s="192"/>
      <c r="BI43" s="192"/>
      <c r="BJ43" s="192"/>
      <c r="BK43" s="192"/>
      <c r="BL43" s="192"/>
      <c r="BM43" s="192"/>
      <c r="BN43" s="192"/>
      <c r="BO43" s="192"/>
      <c r="BP43" s="192"/>
      <c r="BQ43" s="192"/>
    </row>
    <row r="44" spans="1:69" x14ac:dyDescent="0.25">
      <c r="A44" s="59"/>
      <c r="B44" s="60"/>
      <c r="C44" s="61"/>
      <c r="D44" s="61"/>
      <c r="E44" s="64"/>
      <c r="F44" s="62"/>
      <c r="G44" s="62"/>
      <c r="H44" s="62"/>
      <c r="I44" s="62"/>
      <c r="J44" s="62"/>
      <c r="K44" s="62"/>
      <c r="L44" s="754"/>
      <c r="M44" s="62"/>
      <c r="N44" s="62"/>
      <c r="O44" s="62"/>
      <c r="P44" s="62"/>
      <c r="Q44" s="62"/>
      <c r="R44" s="62"/>
      <c r="S44" s="114"/>
      <c r="T44" s="114"/>
      <c r="U44" s="114"/>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row>
    <row r="45" spans="1:69" x14ac:dyDescent="0.25">
      <c r="A45" s="56" t="s">
        <v>634</v>
      </c>
      <c r="B45" s="57" t="s">
        <v>574</v>
      </c>
      <c r="C45" s="58"/>
      <c r="D45" s="58"/>
      <c r="E45" s="321"/>
      <c r="F45" s="158">
        <v>7.6</v>
      </c>
      <c r="G45" s="158">
        <v>23.7</v>
      </c>
      <c r="H45" s="158">
        <v>15.8</v>
      </c>
      <c r="I45" s="158">
        <v>43.3</v>
      </c>
      <c r="J45" s="158">
        <v>24.1</v>
      </c>
      <c r="K45" s="158">
        <v>58.1</v>
      </c>
      <c r="L45" s="753">
        <v>21.4</v>
      </c>
      <c r="M45" s="158">
        <v>35.5</v>
      </c>
      <c r="N45" s="158">
        <v>48.2</v>
      </c>
      <c r="O45" s="158">
        <v>58.5</v>
      </c>
      <c r="P45" s="158">
        <v>55.3</v>
      </c>
      <c r="Q45" s="158">
        <v>79.400000000000006</v>
      </c>
      <c r="R45" s="158">
        <v>70.2</v>
      </c>
      <c r="S45" s="113"/>
      <c r="T45" s="113"/>
      <c r="U45" s="113"/>
      <c r="V45" s="192"/>
      <c r="W45" s="192"/>
      <c r="X45" s="192"/>
      <c r="Y45" s="192"/>
      <c r="Z45" s="192"/>
      <c r="AA45" s="192"/>
      <c r="AB45" s="192"/>
      <c r="AC45" s="192"/>
      <c r="AD45" s="192"/>
      <c r="AE45" s="192"/>
      <c r="AF45" s="192"/>
      <c r="AG45" s="192"/>
      <c r="AH45" s="192"/>
      <c r="AI45" s="192"/>
      <c r="AJ45" s="192"/>
      <c r="AK45" s="192"/>
      <c r="AL45" s="192"/>
      <c r="AM45" s="192"/>
      <c r="AN45" s="192"/>
      <c r="AO45" s="192"/>
      <c r="AP45" s="192"/>
      <c r="AQ45" s="192"/>
      <c r="AR45" s="192"/>
      <c r="AS45" s="192"/>
      <c r="AT45" s="192"/>
      <c r="AU45" s="192"/>
      <c r="AV45" s="192"/>
      <c r="AW45" s="192"/>
      <c r="AX45" s="192"/>
      <c r="AY45" s="192"/>
      <c r="AZ45" s="192"/>
      <c r="BA45" s="192"/>
      <c r="BB45" s="192"/>
      <c r="BC45" s="192"/>
      <c r="BD45" s="192"/>
      <c r="BE45" s="192"/>
      <c r="BF45" s="192"/>
      <c r="BG45" s="192"/>
      <c r="BH45" s="192"/>
      <c r="BI45" s="192"/>
      <c r="BJ45" s="192"/>
      <c r="BK45" s="192"/>
      <c r="BL45" s="192"/>
      <c r="BM45" s="192"/>
      <c r="BN45" s="192"/>
      <c r="BO45" s="192"/>
      <c r="BP45" s="192"/>
      <c r="BQ45" s="192"/>
    </row>
    <row r="46" spans="1:69" x14ac:dyDescent="0.25">
      <c r="A46" s="59"/>
      <c r="B46" s="60"/>
      <c r="C46" s="61"/>
      <c r="D46" s="61"/>
      <c r="E46" s="64"/>
      <c r="F46" s="62"/>
      <c r="G46" s="62"/>
      <c r="H46" s="62"/>
      <c r="I46" s="62"/>
      <c r="J46" s="62"/>
      <c r="K46" s="62"/>
      <c r="L46" s="754"/>
      <c r="M46" s="62"/>
      <c r="N46" s="62"/>
      <c r="O46" s="62"/>
      <c r="P46" s="62"/>
      <c r="Q46" s="62"/>
      <c r="R46" s="62"/>
      <c r="S46" s="114"/>
      <c r="T46" s="114"/>
      <c r="U46" s="114"/>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row>
    <row r="47" spans="1:69" x14ac:dyDescent="0.25">
      <c r="A47" s="56" t="s">
        <v>635</v>
      </c>
      <c r="B47" s="57" t="s">
        <v>577</v>
      </c>
      <c r="C47" s="58"/>
      <c r="D47" s="58"/>
      <c r="E47" s="321"/>
      <c r="F47" s="158">
        <v>13.3</v>
      </c>
      <c r="G47" s="158">
        <v>18.8</v>
      </c>
      <c r="H47" s="158">
        <v>24.8</v>
      </c>
      <c r="I47" s="158">
        <v>38.4</v>
      </c>
      <c r="J47" s="158">
        <v>18.3</v>
      </c>
      <c r="K47" s="158">
        <v>40.5</v>
      </c>
      <c r="L47" s="753">
        <v>25.7</v>
      </c>
      <c r="M47" s="158">
        <v>35</v>
      </c>
      <c r="N47" s="158">
        <v>56.1</v>
      </c>
      <c r="O47" s="158">
        <v>65.2</v>
      </c>
      <c r="P47" s="158">
        <v>56.5</v>
      </c>
      <c r="Q47" s="158">
        <v>52.4</v>
      </c>
      <c r="R47" s="158">
        <v>67</v>
      </c>
      <c r="S47" s="113"/>
      <c r="T47" s="113"/>
      <c r="U47" s="113"/>
      <c r="V47" s="192"/>
      <c r="W47" s="192"/>
      <c r="X47" s="192"/>
      <c r="Y47" s="192"/>
      <c r="Z47" s="192"/>
      <c r="AA47" s="192"/>
      <c r="AB47" s="192"/>
      <c r="AC47" s="192"/>
      <c r="AD47" s="192"/>
      <c r="AE47" s="192"/>
      <c r="AF47" s="192"/>
      <c r="AG47" s="192"/>
      <c r="AH47" s="192"/>
      <c r="AI47" s="192"/>
      <c r="AJ47" s="192"/>
      <c r="AK47" s="192"/>
      <c r="AL47" s="192"/>
      <c r="AM47" s="192"/>
      <c r="AN47" s="192"/>
      <c r="AO47" s="192"/>
      <c r="AP47" s="192"/>
      <c r="AQ47" s="192"/>
      <c r="AR47" s="192"/>
      <c r="AS47" s="192"/>
      <c r="AT47" s="192"/>
      <c r="AU47" s="192"/>
      <c r="AV47" s="192"/>
      <c r="AW47" s="192"/>
      <c r="AX47" s="192"/>
      <c r="AY47" s="192"/>
      <c r="AZ47" s="192"/>
      <c r="BA47" s="192"/>
      <c r="BB47" s="192"/>
      <c r="BC47" s="192"/>
      <c r="BD47" s="192"/>
      <c r="BE47" s="192"/>
      <c r="BF47" s="192"/>
      <c r="BG47" s="192"/>
      <c r="BH47" s="192"/>
      <c r="BI47" s="192"/>
      <c r="BJ47" s="192"/>
      <c r="BK47" s="192"/>
      <c r="BL47" s="192"/>
      <c r="BM47" s="192"/>
      <c r="BN47" s="192"/>
      <c r="BO47" s="192"/>
      <c r="BP47" s="192"/>
      <c r="BQ47" s="192"/>
    </row>
    <row r="48" spans="1:69" x14ac:dyDescent="0.25">
      <c r="A48" s="64"/>
      <c r="B48" s="60"/>
      <c r="C48" s="61"/>
      <c r="D48" s="61"/>
      <c r="E48" s="64"/>
      <c r="F48" s="98"/>
      <c r="G48" s="98"/>
      <c r="H48" s="98"/>
      <c r="I48" s="98"/>
      <c r="J48" s="98"/>
      <c r="K48" s="98"/>
      <c r="L48" s="754"/>
      <c r="M48" s="62"/>
      <c r="N48" s="62"/>
      <c r="O48" s="62"/>
      <c r="P48" s="62"/>
      <c r="Q48" s="62"/>
      <c r="R48" s="62"/>
      <c r="S48" s="114"/>
      <c r="T48" s="114"/>
      <c r="U48" s="114"/>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row>
    <row r="49" spans="1:70" x14ac:dyDescent="0.25">
      <c r="A49" s="59"/>
      <c r="B49" s="60"/>
      <c r="C49" s="61"/>
      <c r="D49" s="61"/>
      <c r="E49" s="64"/>
      <c r="F49" s="62"/>
      <c r="G49" s="62"/>
      <c r="H49" s="62"/>
      <c r="I49" s="62"/>
      <c r="J49" s="62"/>
      <c r="K49" s="62"/>
      <c r="L49" s="754"/>
      <c r="M49" s="62"/>
      <c r="N49" s="62"/>
      <c r="O49" s="62"/>
      <c r="P49" s="62"/>
      <c r="Q49" s="62"/>
      <c r="R49" s="62"/>
      <c r="S49" s="114"/>
      <c r="T49" s="114"/>
      <c r="U49" s="114"/>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4"/>
    </row>
    <row r="50" spans="1:70" x14ac:dyDescent="0.25">
      <c r="A50" s="56" t="s">
        <v>584</v>
      </c>
      <c r="B50" s="57" t="s">
        <v>585</v>
      </c>
      <c r="C50" s="58"/>
      <c r="D50" s="58"/>
      <c r="E50" s="321"/>
      <c r="F50" s="158">
        <v>149.5</v>
      </c>
      <c r="G50" s="158">
        <v>287.89999999999998</v>
      </c>
      <c r="H50" s="158">
        <v>223.5</v>
      </c>
      <c r="I50" s="158">
        <v>441.7</v>
      </c>
      <c r="J50" s="158">
        <v>257.7</v>
      </c>
      <c r="K50" s="158">
        <v>538.29999999999995</v>
      </c>
      <c r="L50" s="753">
        <v>297.5</v>
      </c>
      <c r="M50" s="158">
        <v>364.5</v>
      </c>
      <c r="N50" s="158">
        <v>544.29999999999995</v>
      </c>
      <c r="O50" s="158">
        <v>623.29999999999995</v>
      </c>
      <c r="P50" s="158">
        <v>627.79999999999995</v>
      </c>
      <c r="Q50" s="158">
        <v>669.9</v>
      </c>
      <c r="R50" s="158">
        <v>654.5</v>
      </c>
      <c r="S50" s="113"/>
      <c r="T50" s="113"/>
      <c r="U50" s="113"/>
      <c r="V50" s="192"/>
      <c r="W50" s="192"/>
      <c r="X50" s="192"/>
      <c r="Y50" s="192"/>
      <c r="Z50" s="192"/>
      <c r="AA50" s="192"/>
      <c r="AB50" s="192"/>
      <c r="AC50" s="192"/>
      <c r="AD50" s="192"/>
      <c r="AE50" s="192"/>
      <c r="AF50" s="192"/>
      <c r="AG50" s="192"/>
      <c r="AH50" s="192"/>
      <c r="AI50" s="192"/>
      <c r="AJ50" s="192"/>
      <c r="AK50" s="192"/>
      <c r="AL50" s="192"/>
      <c r="AM50" s="192"/>
      <c r="AN50" s="192"/>
      <c r="AO50" s="192"/>
      <c r="AP50" s="192"/>
      <c r="AQ50" s="192"/>
      <c r="AR50" s="192"/>
      <c r="AS50" s="192"/>
      <c r="AT50" s="192"/>
      <c r="AU50" s="192"/>
      <c r="AV50" s="192"/>
      <c r="AW50" s="192"/>
      <c r="AX50" s="192"/>
      <c r="AY50" s="192"/>
      <c r="AZ50" s="192"/>
      <c r="BA50" s="192"/>
      <c r="BB50" s="192"/>
      <c r="BC50" s="192"/>
      <c r="BD50" s="192"/>
      <c r="BE50" s="192"/>
      <c r="BF50" s="192"/>
      <c r="BG50" s="192"/>
      <c r="BH50" s="192"/>
      <c r="BI50" s="192"/>
      <c r="BJ50" s="192"/>
      <c r="BK50" s="192"/>
      <c r="BL50" s="192"/>
      <c r="BM50" s="192"/>
      <c r="BN50" s="192"/>
      <c r="BO50" s="192"/>
      <c r="BP50" s="192"/>
      <c r="BQ50" s="192"/>
      <c r="BR50" s="321"/>
    </row>
    <row r="51" spans="1:70" x14ac:dyDescent="0.25">
      <c r="A51" s="59"/>
      <c r="B51" s="59"/>
      <c r="C51" s="61"/>
      <c r="D51" s="61"/>
      <c r="E51" s="64"/>
      <c r="F51" s="98"/>
      <c r="G51" s="98"/>
      <c r="H51" s="98"/>
      <c r="I51" s="98"/>
      <c r="J51" s="98"/>
      <c r="K51" s="98"/>
      <c r="L51" s="754"/>
      <c r="M51" s="62"/>
      <c r="N51" s="62"/>
      <c r="O51" s="62"/>
      <c r="P51" s="62"/>
      <c r="Q51" s="62"/>
      <c r="R51" s="62"/>
      <c r="S51" s="114"/>
      <c r="T51" s="114"/>
      <c r="U51" s="114"/>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c r="BB51" s="63"/>
      <c r="BC51" s="63"/>
      <c r="BD51" s="63"/>
      <c r="BE51" s="63"/>
      <c r="BF51" s="63"/>
      <c r="BG51" s="63"/>
      <c r="BH51" s="63"/>
      <c r="BI51" s="63"/>
      <c r="BJ51" s="63"/>
      <c r="BK51" s="63"/>
      <c r="BL51" s="63"/>
      <c r="BM51" s="63"/>
      <c r="BN51" s="63"/>
      <c r="BO51" s="63"/>
      <c r="BP51" s="63"/>
      <c r="BQ51" s="63"/>
      <c r="BR51" s="64"/>
    </row>
    <row r="52" spans="1:70" x14ac:dyDescent="0.25">
      <c r="A52" s="59"/>
      <c r="B52" s="59"/>
      <c r="C52" s="61"/>
      <c r="D52" s="61"/>
      <c r="E52" s="64"/>
      <c r="F52" s="62"/>
      <c r="G52" s="62"/>
      <c r="H52" s="62"/>
      <c r="I52" s="62"/>
      <c r="J52" s="62"/>
      <c r="K52" s="62"/>
      <c r="L52" s="754"/>
      <c r="M52" s="62"/>
      <c r="N52" s="62"/>
      <c r="O52" s="62"/>
      <c r="P52" s="62"/>
      <c r="Q52" s="62"/>
      <c r="R52" s="62"/>
      <c r="S52" s="114"/>
      <c r="T52" s="114"/>
      <c r="U52" s="114"/>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4"/>
    </row>
    <row r="53" spans="1:70" x14ac:dyDescent="0.25">
      <c r="A53" s="56" t="s">
        <v>636</v>
      </c>
      <c r="B53" s="57" t="s">
        <v>580</v>
      </c>
      <c r="C53" s="65"/>
      <c r="D53" s="58"/>
      <c r="E53" s="321"/>
      <c r="F53" s="158">
        <v>16.600000000000001</v>
      </c>
      <c r="G53" s="158">
        <v>27.7</v>
      </c>
      <c r="H53" s="158">
        <v>36.4</v>
      </c>
      <c r="I53" s="158">
        <v>57</v>
      </c>
      <c r="J53" s="158">
        <v>50.8</v>
      </c>
      <c r="K53" s="158">
        <v>86.5</v>
      </c>
      <c r="L53" s="753">
        <v>27.4</v>
      </c>
      <c r="M53" s="158">
        <v>31.7</v>
      </c>
      <c r="N53" s="158">
        <v>88.2</v>
      </c>
      <c r="O53" s="158">
        <v>114.7</v>
      </c>
      <c r="P53" s="158">
        <v>125.6</v>
      </c>
      <c r="Q53" s="158">
        <v>88.8</v>
      </c>
      <c r="R53" s="158">
        <v>141.69999999999999</v>
      </c>
      <c r="S53" s="113"/>
      <c r="T53" s="113"/>
      <c r="U53" s="113"/>
      <c r="V53" s="192"/>
      <c r="W53" s="192"/>
      <c r="X53" s="192"/>
      <c r="Y53" s="192"/>
      <c r="Z53" s="192"/>
      <c r="AA53" s="192"/>
      <c r="AB53" s="192"/>
      <c r="AC53" s="192"/>
      <c r="AD53" s="192"/>
      <c r="AE53" s="192"/>
      <c r="AF53" s="192"/>
      <c r="AG53" s="192"/>
      <c r="AH53" s="192"/>
      <c r="AI53" s="192"/>
      <c r="AJ53" s="192"/>
      <c r="AK53" s="192"/>
      <c r="AL53" s="192"/>
      <c r="AM53" s="192"/>
      <c r="AN53" s="192"/>
      <c r="AO53" s="192"/>
      <c r="AP53" s="192"/>
      <c r="AQ53" s="192"/>
      <c r="AR53" s="192"/>
      <c r="AS53" s="192"/>
      <c r="AT53" s="192"/>
      <c r="AU53" s="192"/>
      <c r="AV53" s="192"/>
      <c r="AW53" s="192"/>
      <c r="AX53" s="192"/>
      <c r="AY53" s="192"/>
      <c r="AZ53" s="192"/>
      <c r="BA53" s="192"/>
      <c r="BB53" s="192"/>
      <c r="BC53" s="192"/>
      <c r="BD53" s="192"/>
      <c r="BE53" s="192"/>
      <c r="BF53" s="192"/>
      <c r="BG53" s="192"/>
      <c r="BH53" s="192"/>
      <c r="BI53" s="192"/>
      <c r="BJ53" s="192"/>
      <c r="BK53" s="192"/>
      <c r="BL53" s="192"/>
      <c r="BM53" s="192"/>
      <c r="BN53" s="192"/>
      <c r="BO53" s="192"/>
      <c r="BP53" s="192"/>
      <c r="BQ53" s="192"/>
      <c r="BR53" s="321"/>
    </row>
    <row r="54" spans="1:70" x14ac:dyDescent="0.25">
      <c r="A54" s="169"/>
      <c r="B54" s="169"/>
      <c r="C54" s="77"/>
      <c r="D54" s="95"/>
      <c r="E54" s="96"/>
      <c r="F54" s="97"/>
      <c r="G54" s="97"/>
      <c r="H54" s="97"/>
      <c r="I54" s="97"/>
      <c r="J54" s="97"/>
      <c r="K54" s="97"/>
      <c r="L54" s="754"/>
      <c r="M54" s="62"/>
      <c r="N54" s="62"/>
      <c r="O54" s="62"/>
      <c r="P54" s="62"/>
      <c r="Q54" s="62"/>
      <c r="R54" s="62"/>
      <c r="S54" s="114"/>
      <c r="T54" s="114"/>
      <c r="U54" s="114"/>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4"/>
    </row>
    <row r="55" spans="1:70" x14ac:dyDescent="0.25">
      <c r="A55" s="128"/>
      <c r="B55" s="128"/>
      <c r="C55" s="66"/>
      <c r="D55" s="67"/>
      <c r="E55" s="118"/>
      <c r="F55" s="89"/>
      <c r="G55" s="89"/>
      <c r="H55" s="89"/>
      <c r="I55" s="89"/>
      <c r="J55" s="89"/>
      <c r="K55" s="89"/>
      <c r="L55" s="756"/>
      <c r="M55" s="109"/>
      <c r="N55" s="109"/>
      <c r="O55" s="109"/>
      <c r="P55" s="109"/>
      <c r="Q55" s="109"/>
      <c r="R55" s="109"/>
      <c r="S55" s="110"/>
      <c r="T55" s="110"/>
      <c r="U55" s="110"/>
      <c r="V55" s="118"/>
      <c r="W55" s="118"/>
      <c r="X55" s="118"/>
      <c r="Y55" s="118"/>
      <c r="Z55" s="118"/>
      <c r="AA55" s="118"/>
      <c r="AB55" s="118"/>
      <c r="AC55" s="118"/>
      <c r="AD55" s="118"/>
      <c r="AE55" s="118"/>
      <c r="AF55" s="118"/>
      <c r="AG55" s="118"/>
      <c r="AH55" s="118"/>
      <c r="AI55" s="118"/>
      <c r="AJ55" s="118"/>
      <c r="AK55" s="118"/>
      <c r="AL55" s="118"/>
      <c r="AM55" s="118"/>
      <c r="AN55" s="118"/>
      <c r="AO55" s="118"/>
      <c r="AP55" s="118"/>
      <c r="AQ55" s="118"/>
      <c r="AR55" s="118"/>
      <c r="AS55" s="118"/>
      <c r="AT55" s="118"/>
      <c r="AU55" s="118"/>
      <c r="AV55" s="118"/>
      <c r="AW55" s="118"/>
      <c r="AX55" s="118"/>
      <c r="AY55" s="118"/>
      <c r="AZ55" s="118"/>
      <c r="BA55" s="118"/>
      <c r="BB55" s="118"/>
      <c r="BC55" s="118"/>
      <c r="BD55" s="118"/>
      <c r="BE55" s="118"/>
      <c r="BF55" s="118"/>
      <c r="BG55" s="118"/>
      <c r="BH55" s="118"/>
      <c r="BI55" s="118"/>
      <c r="BJ55" s="118"/>
      <c r="BK55" s="118"/>
      <c r="BL55" s="118"/>
      <c r="BM55" s="118"/>
      <c r="BN55" s="118"/>
      <c r="BO55" s="118"/>
      <c r="BP55" s="118"/>
      <c r="BQ55" s="118"/>
      <c r="BR55" s="135"/>
    </row>
    <row r="56" spans="1:70" x14ac:dyDescent="0.25">
      <c r="A56" s="252" t="s">
        <v>526</v>
      </c>
      <c r="B56" s="68"/>
      <c r="C56" s="69"/>
      <c r="D56" s="70"/>
      <c r="E56" s="321"/>
      <c r="F56" s="280">
        <v>166.2</v>
      </c>
      <c r="G56" s="280">
        <v>315.7</v>
      </c>
      <c r="H56" s="280">
        <v>260</v>
      </c>
      <c r="I56" s="280">
        <v>498.7</v>
      </c>
      <c r="J56" s="280">
        <v>308.5</v>
      </c>
      <c r="K56" s="280">
        <v>624.70000000000005</v>
      </c>
      <c r="L56" s="757">
        <v>324.89999999999998</v>
      </c>
      <c r="M56" s="280">
        <v>396.3</v>
      </c>
      <c r="N56" s="280">
        <v>632.5</v>
      </c>
      <c r="O56" s="280">
        <v>738</v>
      </c>
      <c r="P56" s="280">
        <v>753.4</v>
      </c>
      <c r="Q56" s="280">
        <v>758.8</v>
      </c>
      <c r="R56" s="280">
        <v>796.2</v>
      </c>
      <c r="S56" s="113"/>
      <c r="T56" s="113"/>
      <c r="U56" s="113"/>
      <c r="V56" s="192"/>
      <c r="W56" s="192"/>
      <c r="X56" s="192"/>
      <c r="Y56" s="192"/>
      <c r="Z56" s="192"/>
      <c r="AA56" s="192"/>
      <c r="AB56" s="192"/>
      <c r="AC56" s="192"/>
      <c r="AD56" s="192"/>
      <c r="AE56" s="192"/>
      <c r="AF56" s="192"/>
      <c r="AG56" s="192"/>
      <c r="AH56" s="192"/>
      <c r="AI56" s="192"/>
      <c r="AJ56" s="192"/>
      <c r="AK56" s="192"/>
      <c r="AL56" s="192"/>
      <c r="AM56" s="192"/>
      <c r="AN56" s="192"/>
      <c r="AO56" s="192"/>
      <c r="AP56" s="192"/>
      <c r="AQ56" s="192"/>
      <c r="AR56" s="192"/>
      <c r="AS56" s="192"/>
      <c r="AT56" s="192"/>
      <c r="AU56" s="192"/>
      <c r="AV56" s="192"/>
      <c r="AW56" s="192"/>
      <c r="AX56" s="192"/>
      <c r="AY56" s="192"/>
      <c r="AZ56" s="192"/>
      <c r="BA56" s="192"/>
      <c r="BB56" s="192"/>
      <c r="BC56" s="192"/>
      <c r="BD56" s="192"/>
      <c r="BE56" s="192"/>
      <c r="BF56" s="192"/>
      <c r="BG56" s="192"/>
      <c r="BH56" s="192"/>
      <c r="BI56" s="192"/>
      <c r="BJ56" s="192"/>
      <c r="BK56" s="192"/>
      <c r="BL56" s="192"/>
      <c r="BM56" s="192"/>
      <c r="BN56" s="192"/>
      <c r="BO56" s="192"/>
      <c r="BP56" s="192"/>
      <c r="BQ56" s="192"/>
      <c r="BR56" s="321"/>
    </row>
    <row r="57" spans="1:70" x14ac:dyDescent="0.25">
      <c r="A57" s="99"/>
      <c r="B57" s="100"/>
      <c r="C57" s="101"/>
      <c r="D57" s="101"/>
      <c r="E57" s="92"/>
      <c r="F57" s="102"/>
      <c r="G57" s="102"/>
      <c r="H57" s="102"/>
      <c r="I57" s="102"/>
      <c r="J57" s="102"/>
      <c r="K57" s="102"/>
      <c r="L57" s="746"/>
      <c r="M57" s="71"/>
      <c r="N57" s="71"/>
      <c r="O57" s="71"/>
      <c r="P57" s="71"/>
      <c r="Q57" s="71"/>
      <c r="R57" s="71"/>
      <c r="S57" s="111"/>
      <c r="T57" s="111"/>
      <c r="U57" s="111"/>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3"/>
      <c r="BE57" s="43"/>
      <c r="BF57" s="43"/>
      <c r="BG57" s="43"/>
      <c r="BH57" s="43"/>
      <c r="BI57" s="43"/>
      <c r="BJ57" s="43"/>
      <c r="BK57" s="43"/>
      <c r="BL57" s="43"/>
      <c r="BM57" s="43"/>
      <c r="BN57" s="43"/>
      <c r="BO57" s="43"/>
      <c r="BP57" s="43"/>
      <c r="BQ57" s="43"/>
      <c r="BR57" s="231"/>
    </row>
    <row r="58" spans="1:70" x14ac:dyDescent="0.25">
      <c r="A58" s="72"/>
      <c r="B58" s="73"/>
      <c r="C58" s="74"/>
      <c r="D58" s="74"/>
      <c r="E58" s="231"/>
      <c r="F58" s="71"/>
      <c r="G58" s="71"/>
      <c r="H58" s="71"/>
      <c r="I58" s="71"/>
      <c r="J58" s="71"/>
      <c r="K58" s="71"/>
      <c r="L58" s="758"/>
      <c r="M58" s="108"/>
      <c r="N58" s="108"/>
      <c r="O58" s="108"/>
      <c r="P58" s="108"/>
      <c r="Q58" s="108"/>
      <c r="R58" s="108"/>
      <c r="S58" s="111"/>
      <c r="T58" s="111"/>
      <c r="U58" s="111"/>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c r="BJ58" s="43"/>
      <c r="BK58" s="43"/>
      <c r="BL58" s="43"/>
      <c r="BM58" s="43"/>
      <c r="BN58" s="43"/>
      <c r="BO58" s="43"/>
      <c r="BP58" s="43"/>
      <c r="BQ58" s="43"/>
      <c r="BR58" s="231"/>
    </row>
    <row r="59" spans="1:70" x14ac:dyDescent="0.25">
      <c r="A59" s="234" t="s">
        <v>611</v>
      </c>
      <c r="B59" s="234"/>
      <c r="C59" s="186"/>
      <c r="D59" s="69"/>
      <c r="E59" s="182"/>
      <c r="F59" s="71"/>
      <c r="G59" s="71"/>
      <c r="H59" s="71"/>
      <c r="I59" s="71"/>
      <c r="J59" s="71"/>
      <c r="K59" s="71"/>
      <c r="L59" s="746"/>
      <c r="M59" s="71"/>
      <c r="N59" s="71"/>
      <c r="O59" s="71"/>
      <c r="P59" s="71"/>
      <c r="Q59" s="71"/>
      <c r="R59" s="71"/>
      <c r="S59" s="111"/>
      <c r="T59" s="111"/>
      <c r="U59" s="111"/>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c r="BJ59" s="43"/>
      <c r="BK59" s="43"/>
      <c r="BL59" s="43"/>
      <c r="BM59" s="43"/>
      <c r="BN59" s="43"/>
      <c r="BO59" s="43"/>
      <c r="BP59" s="43"/>
      <c r="BQ59" s="43"/>
      <c r="BR59" s="182"/>
    </row>
    <row r="60" spans="1:70" x14ac:dyDescent="0.25">
      <c r="A60" s="75" t="s">
        <v>526</v>
      </c>
      <c r="B60" s="75"/>
      <c r="C60" s="68"/>
      <c r="D60" s="70"/>
      <c r="E60" s="321"/>
      <c r="F60" s="280">
        <v>166.2</v>
      </c>
      <c r="G60" s="280">
        <v>157.80000000000001</v>
      </c>
      <c r="H60" s="280">
        <v>260</v>
      </c>
      <c r="I60" s="280">
        <v>249.3</v>
      </c>
      <c r="J60" s="280">
        <v>308.5</v>
      </c>
      <c r="K60" s="280">
        <v>312.39999999999998</v>
      </c>
      <c r="L60" s="757">
        <v>162.4</v>
      </c>
      <c r="M60" s="280">
        <v>116.7</v>
      </c>
      <c r="N60" s="280">
        <v>210.8</v>
      </c>
      <c r="O60" s="280">
        <v>184.5</v>
      </c>
      <c r="P60" s="280">
        <v>141.1</v>
      </c>
      <c r="Q60" s="280">
        <v>220.3</v>
      </c>
      <c r="R60" s="280">
        <v>163.9</v>
      </c>
      <c r="S60" s="113"/>
      <c r="T60" s="113"/>
      <c r="U60" s="113"/>
      <c r="V60" s="192"/>
      <c r="W60" s="192"/>
      <c r="X60" s="192"/>
      <c r="Y60" s="192"/>
      <c r="Z60" s="192"/>
      <c r="AA60" s="192"/>
      <c r="AB60" s="192"/>
      <c r="AC60" s="192"/>
      <c r="AD60" s="192"/>
      <c r="AE60" s="192"/>
      <c r="AF60" s="192"/>
      <c r="AG60" s="192"/>
      <c r="AH60" s="192"/>
      <c r="AI60" s="192"/>
      <c r="AJ60" s="192"/>
      <c r="AK60" s="192"/>
      <c r="AL60" s="192"/>
      <c r="AM60" s="192"/>
      <c r="AN60" s="192"/>
      <c r="AO60" s="192"/>
      <c r="AP60" s="192"/>
      <c r="AQ60" s="192"/>
      <c r="AR60" s="192"/>
      <c r="AS60" s="192"/>
      <c r="AT60" s="192"/>
      <c r="AU60" s="192"/>
      <c r="AV60" s="192"/>
      <c r="AW60" s="192"/>
      <c r="AX60" s="192"/>
      <c r="AY60" s="192"/>
      <c r="AZ60" s="192"/>
      <c r="BA60" s="192"/>
      <c r="BB60" s="192"/>
      <c r="BC60" s="192"/>
      <c r="BD60" s="192"/>
      <c r="BE60" s="192"/>
      <c r="BF60" s="192"/>
      <c r="BG60" s="192"/>
      <c r="BH60" s="192"/>
      <c r="BI60" s="192"/>
      <c r="BJ60" s="192"/>
      <c r="BK60" s="192"/>
      <c r="BL60" s="192"/>
      <c r="BM60" s="192"/>
      <c r="BN60" s="192"/>
      <c r="BO60" s="192"/>
      <c r="BP60" s="192"/>
      <c r="BQ60" s="192"/>
      <c r="BR60" s="321"/>
    </row>
    <row r="61" spans="1:70" x14ac:dyDescent="0.25">
      <c r="A61" s="169"/>
      <c r="B61" s="169"/>
      <c r="C61" s="76"/>
      <c r="D61" s="77"/>
      <c r="E61" s="92"/>
      <c r="F61" s="78"/>
      <c r="G61" s="78"/>
      <c r="H61" s="78"/>
      <c r="I61" s="78"/>
      <c r="J61" s="78"/>
      <c r="K61" s="78"/>
      <c r="L61" s="759"/>
      <c r="M61" s="77"/>
      <c r="N61" s="77"/>
      <c r="O61" s="78"/>
      <c r="P61" s="78"/>
      <c r="Q61" s="78"/>
      <c r="R61" s="78"/>
      <c r="S61" s="111"/>
      <c r="T61" s="111"/>
      <c r="U61" s="111"/>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c r="BJ61" s="43"/>
      <c r="BK61" s="43"/>
      <c r="BL61" s="43"/>
      <c r="BM61" s="43"/>
      <c r="BN61" s="43"/>
      <c r="BO61" s="43"/>
      <c r="BP61" s="43"/>
      <c r="BQ61" s="43"/>
      <c r="BR61" s="231"/>
    </row>
    <row r="62" spans="1:70" x14ac:dyDescent="0.25">
      <c r="A62" s="128"/>
      <c r="B62" s="128"/>
      <c r="C62" s="90"/>
      <c r="D62" s="84"/>
      <c r="E62" s="84"/>
      <c r="F62" s="84"/>
      <c r="G62" s="84"/>
      <c r="H62" s="84"/>
      <c r="I62" s="84"/>
      <c r="J62" s="84"/>
      <c r="K62" s="84"/>
      <c r="L62" s="760"/>
      <c r="M62" s="84"/>
      <c r="N62" s="84"/>
      <c r="O62" s="84"/>
      <c r="P62" s="84"/>
      <c r="Q62" s="84"/>
      <c r="R62" s="84"/>
      <c r="S62" s="115"/>
      <c r="T62" s="115"/>
      <c r="U62" s="115"/>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c r="BF62" s="84"/>
      <c r="BG62" s="84"/>
      <c r="BH62" s="84"/>
      <c r="BI62" s="84"/>
      <c r="BJ62" s="84"/>
      <c r="BK62" s="84"/>
      <c r="BL62" s="84"/>
      <c r="BM62" s="84"/>
      <c r="BN62" s="84"/>
      <c r="BO62" s="84"/>
      <c r="BP62" s="84"/>
      <c r="BQ62" s="84"/>
      <c r="BR62" s="84"/>
    </row>
    <row r="63" spans="1:70" x14ac:dyDescent="0.25">
      <c r="A63" s="296" t="s">
        <v>612</v>
      </c>
      <c r="B63" s="84"/>
      <c r="C63" s="105"/>
      <c r="D63" s="84"/>
      <c r="E63" s="41"/>
      <c r="F63" s="41"/>
      <c r="G63" s="41"/>
      <c r="H63" s="41"/>
      <c r="I63" s="41"/>
      <c r="J63" s="41"/>
      <c r="K63" s="43"/>
      <c r="L63" s="752"/>
      <c r="M63" s="41"/>
      <c r="N63" s="41"/>
      <c r="O63" s="41"/>
      <c r="P63" s="41"/>
      <c r="Q63" s="41"/>
      <c r="R63" s="41"/>
      <c r="S63" s="111"/>
      <c r="T63" s="111"/>
      <c r="U63" s="111"/>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c r="BJ63" s="43"/>
      <c r="BK63" s="43"/>
      <c r="BL63" s="43"/>
      <c r="BM63" s="43"/>
      <c r="BN63" s="43"/>
      <c r="BO63" s="43"/>
      <c r="BP63" s="43"/>
      <c r="BQ63" s="43"/>
      <c r="BR63" s="84"/>
    </row>
    <row r="64" spans="1:70" x14ac:dyDescent="0.25">
      <c r="A64" s="155" t="s">
        <v>613</v>
      </c>
      <c r="B64" s="106"/>
      <c r="C64" s="83"/>
      <c r="D64" s="83"/>
      <c r="E64" s="80"/>
      <c r="F64" s="80"/>
      <c r="G64" s="80"/>
      <c r="H64" s="80"/>
      <c r="I64" s="80"/>
      <c r="J64" s="80"/>
      <c r="K64" s="43"/>
      <c r="L64" s="761"/>
      <c r="M64" s="80"/>
      <c r="N64" s="80"/>
      <c r="O64" s="80"/>
      <c r="P64" s="80"/>
      <c r="Q64" s="80"/>
      <c r="R64" s="80"/>
      <c r="S64" s="111"/>
      <c r="T64" s="111"/>
      <c r="U64" s="111"/>
      <c r="V64" s="43"/>
      <c r="W64" s="43"/>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c r="BJ64" s="43"/>
      <c r="BK64" s="43"/>
      <c r="BL64" s="43"/>
      <c r="BM64" s="43"/>
      <c r="BN64" s="43"/>
      <c r="BO64" s="43"/>
      <c r="BP64" s="43"/>
      <c r="BQ64" s="43"/>
      <c r="BR64" s="43"/>
    </row>
    <row r="65" spans="1:70" x14ac:dyDescent="0.25">
      <c r="A65" s="135" t="s">
        <v>646</v>
      </c>
      <c r="B65" s="106"/>
      <c r="C65" s="83"/>
      <c r="D65" s="83"/>
      <c r="E65" s="80"/>
      <c r="F65" s="80"/>
      <c r="G65" s="80"/>
      <c r="H65" s="80"/>
      <c r="I65" s="80"/>
      <c r="J65" s="80"/>
      <c r="K65" s="43"/>
      <c r="L65" s="761"/>
      <c r="M65" s="80"/>
      <c r="N65" s="80"/>
      <c r="O65" s="80"/>
      <c r="P65" s="80"/>
      <c r="Q65" s="80"/>
      <c r="R65" s="81"/>
      <c r="S65" s="111"/>
      <c r="T65" s="111"/>
      <c r="U65" s="111"/>
      <c r="V65" s="43"/>
      <c r="W65" s="43"/>
      <c r="X65" s="43"/>
      <c r="Y65" s="43"/>
      <c r="Z65" s="43"/>
      <c r="AA65" s="43"/>
      <c r="AB65" s="43"/>
      <c r="AC65" s="43"/>
      <c r="AD65" s="43"/>
      <c r="AE65" s="43"/>
      <c r="AF65" s="43"/>
      <c r="AG65" s="43"/>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3"/>
      <c r="BF65" s="43"/>
      <c r="BG65" s="43"/>
      <c r="BH65" s="43"/>
      <c r="BI65" s="43"/>
      <c r="BJ65" s="43"/>
      <c r="BK65" s="43"/>
      <c r="BL65" s="43"/>
      <c r="BM65" s="43"/>
      <c r="BN65" s="43"/>
      <c r="BO65" s="43"/>
      <c r="BP65" s="43"/>
      <c r="BQ65" s="43"/>
      <c r="BR65" s="43"/>
    </row>
    <row r="66" spans="1:70" x14ac:dyDescent="0.25">
      <c r="A66" s="107" t="s">
        <v>642</v>
      </c>
      <c r="B66" s="82"/>
      <c r="C66" s="83"/>
      <c r="D66" s="83"/>
      <c r="E66" s="80"/>
      <c r="F66" s="80"/>
      <c r="G66" s="80"/>
      <c r="H66" s="80"/>
      <c r="I66" s="80"/>
      <c r="J66" s="80"/>
      <c r="K66" s="43"/>
      <c r="L66" s="761"/>
      <c r="M66" s="80"/>
      <c r="N66" s="80"/>
      <c r="O66" s="80"/>
      <c r="P66" s="80"/>
      <c r="Q66" s="80"/>
      <c r="R66" s="84"/>
      <c r="S66" s="111"/>
      <c r="T66" s="111"/>
      <c r="U66" s="111"/>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43"/>
      <c r="BK66" s="43"/>
      <c r="BL66" s="43"/>
      <c r="BM66" s="43"/>
      <c r="BN66" s="43"/>
      <c r="BO66" s="43"/>
      <c r="BP66" s="43"/>
      <c r="BQ66" s="43"/>
      <c r="BR66" s="84"/>
    </row>
    <row r="67" spans="1:70" x14ac:dyDescent="0.25">
      <c r="A67" s="118"/>
      <c r="B67" s="118"/>
      <c r="C67" s="118"/>
      <c r="D67" s="118"/>
      <c r="E67" s="118"/>
      <c r="F67" s="118"/>
      <c r="G67" s="118"/>
      <c r="H67" s="118"/>
      <c r="I67" s="118"/>
      <c r="J67" s="118"/>
      <c r="K67" s="118"/>
      <c r="L67" s="762"/>
      <c r="M67" s="118"/>
      <c r="N67" s="118"/>
      <c r="O67" s="118"/>
      <c r="P67" s="118"/>
      <c r="Q67" s="118"/>
      <c r="R67" s="118"/>
      <c r="S67" s="110"/>
      <c r="T67" s="110"/>
      <c r="U67" s="110"/>
      <c r="V67" s="118"/>
      <c r="W67" s="118"/>
      <c r="X67" s="118"/>
      <c r="Y67" s="118"/>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18"/>
      <c r="AW67" s="118"/>
      <c r="AX67" s="118"/>
      <c r="AY67" s="118"/>
      <c r="AZ67" s="118"/>
      <c r="BA67" s="118"/>
      <c r="BB67" s="118"/>
      <c r="BC67" s="118"/>
      <c r="BD67" s="118"/>
      <c r="BE67" s="118"/>
      <c r="BF67" s="118"/>
      <c r="BG67" s="118"/>
      <c r="BH67" s="118"/>
      <c r="BI67" s="118"/>
      <c r="BJ67" s="118"/>
      <c r="BK67" s="118"/>
      <c r="BL67" s="118"/>
      <c r="BM67" s="118"/>
      <c r="BN67" s="118"/>
      <c r="BO67" s="118"/>
      <c r="BP67" s="118"/>
      <c r="BQ67" s="118"/>
      <c r="BR67" s="118"/>
    </row>
    <row r="68" spans="1:70" x14ac:dyDescent="0.25">
      <c r="A68" s="43"/>
      <c r="B68" s="84"/>
      <c r="C68" s="84"/>
      <c r="D68" s="84"/>
      <c r="E68" s="84"/>
      <c r="F68" s="84"/>
      <c r="G68" s="80"/>
      <c r="H68" s="80"/>
      <c r="I68" s="80"/>
      <c r="J68" s="80"/>
      <c r="K68" s="118"/>
      <c r="L68" s="762"/>
      <c r="M68" s="118"/>
      <c r="N68" s="118"/>
      <c r="O68" s="118"/>
      <c r="P68" s="118"/>
      <c r="Q68" s="118"/>
      <c r="R68" s="118"/>
      <c r="S68" s="110"/>
      <c r="T68" s="110"/>
      <c r="U68" s="110"/>
      <c r="V68" s="118"/>
      <c r="W68" s="11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118"/>
      <c r="AW68" s="118"/>
      <c r="AX68" s="118"/>
      <c r="AY68" s="118"/>
      <c r="AZ68" s="118"/>
      <c r="BA68" s="118"/>
      <c r="BB68" s="118"/>
      <c r="BC68" s="118"/>
      <c r="BD68" s="118"/>
      <c r="BE68" s="118"/>
      <c r="BF68" s="118"/>
      <c r="BG68" s="118"/>
      <c r="BH68" s="118"/>
      <c r="BI68" s="118"/>
      <c r="BJ68" s="118"/>
      <c r="BK68" s="118"/>
      <c r="BL68" s="118"/>
      <c r="BM68" s="118"/>
      <c r="BN68" s="118"/>
      <c r="BO68" s="118"/>
      <c r="BP68" s="118"/>
      <c r="BQ68" s="118"/>
      <c r="BR68" s="118"/>
    </row>
    <row r="69" spans="1:70" x14ac:dyDescent="0.25">
      <c r="A69" s="43" t="s">
        <v>616</v>
      </c>
      <c r="B69" s="155"/>
      <c r="C69" s="79"/>
      <c r="D69" s="79"/>
      <c r="E69" s="156"/>
      <c r="F69" s="156"/>
      <c r="G69" s="156"/>
      <c r="H69" s="156"/>
      <c r="I69" s="156"/>
      <c r="J69" s="156"/>
      <c r="K69" s="43"/>
      <c r="L69" s="763"/>
      <c r="M69" s="43"/>
      <c r="N69" s="43"/>
      <c r="O69" s="43"/>
      <c r="P69" s="43"/>
      <c r="Q69" s="43"/>
      <c r="R69" s="43"/>
      <c r="S69" s="111"/>
      <c r="T69" s="111"/>
      <c r="U69" s="111"/>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c r="BJ69" s="43"/>
      <c r="BK69" s="43"/>
      <c r="BL69" s="43"/>
      <c r="BM69" s="43"/>
      <c r="BN69" s="43"/>
      <c r="BO69" s="43"/>
      <c r="BP69" s="43"/>
      <c r="BQ69" s="43"/>
      <c r="BR69" s="84"/>
    </row>
    <row r="70" spans="1:70" x14ac:dyDescent="0.25">
      <c r="A70" s="118"/>
      <c r="B70" s="84"/>
      <c r="C70" s="84"/>
      <c r="D70" s="118"/>
      <c r="E70" s="118"/>
      <c r="F70" s="118"/>
      <c r="G70" s="118"/>
      <c r="H70" s="118"/>
      <c r="I70" s="118"/>
      <c r="J70" s="118"/>
      <c r="K70" s="118"/>
      <c r="L70" s="762"/>
      <c r="M70" s="118"/>
      <c r="N70" s="118"/>
      <c r="O70" s="118"/>
      <c r="P70" s="118"/>
      <c r="Q70" s="118"/>
      <c r="R70" s="118"/>
      <c r="S70" s="110"/>
      <c r="T70" s="110"/>
      <c r="U70" s="110"/>
      <c r="V70" s="118"/>
      <c r="W70" s="11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18"/>
      <c r="AW70" s="118"/>
      <c r="AX70" s="118"/>
      <c r="AY70" s="118"/>
      <c r="AZ70" s="118"/>
      <c r="BA70" s="118"/>
      <c r="BB70" s="118"/>
      <c r="BC70" s="118"/>
      <c r="BD70" s="118"/>
      <c r="BE70" s="118"/>
      <c r="BF70" s="118"/>
      <c r="BG70" s="118"/>
      <c r="BH70" s="118"/>
      <c r="BI70" s="118"/>
      <c r="BJ70" s="118"/>
      <c r="BK70" s="118"/>
      <c r="BL70" s="118"/>
      <c r="BM70" s="118"/>
      <c r="BN70" s="118"/>
      <c r="BO70" s="118"/>
      <c r="BP70" s="118"/>
      <c r="BQ70" s="118"/>
      <c r="BR70" s="135"/>
    </row>
    <row r="71" spans="1:70" x14ac:dyDescent="0.25">
      <c r="A71" s="118"/>
      <c r="B71" s="118"/>
      <c r="C71" s="118"/>
      <c r="D71" s="118"/>
      <c r="E71" s="118"/>
      <c r="F71" s="118"/>
      <c r="G71" s="118"/>
      <c r="H71" s="118"/>
      <c r="I71" s="118"/>
      <c r="J71" s="118"/>
      <c r="K71" s="118"/>
      <c r="L71" s="762"/>
      <c r="M71" s="118"/>
      <c r="N71" s="118"/>
      <c r="O71" s="118"/>
      <c r="P71" s="118"/>
      <c r="Q71" s="118"/>
      <c r="R71" s="118"/>
      <c r="S71" s="110"/>
      <c r="T71" s="110"/>
      <c r="U71" s="110"/>
      <c r="V71" s="118"/>
      <c r="W71" s="11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18"/>
      <c r="AW71" s="118"/>
      <c r="AX71" s="118"/>
      <c r="AY71" s="118"/>
      <c r="AZ71" s="118"/>
      <c r="BA71" s="118"/>
      <c r="BB71" s="118"/>
      <c r="BC71" s="118"/>
      <c r="BD71" s="118"/>
      <c r="BE71" s="118"/>
      <c r="BF71" s="118"/>
      <c r="BG71" s="118"/>
      <c r="BH71" s="118"/>
      <c r="BI71" s="118"/>
      <c r="BJ71" s="118"/>
      <c r="BK71" s="118"/>
      <c r="BL71" s="118"/>
      <c r="BM71" s="118"/>
      <c r="BN71" s="118"/>
      <c r="BO71" s="118"/>
      <c r="BP71" s="118"/>
      <c r="BQ71" s="118"/>
      <c r="BR71" s="118"/>
    </row>
    <row r="72" spans="1:70" x14ac:dyDescent="0.25">
      <c r="A72" s="118"/>
      <c r="B72" s="118"/>
      <c r="C72" s="118"/>
      <c r="D72" s="118"/>
      <c r="E72" s="118"/>
      <c r="F72" s="118"/>
      <c r="G72" s="118"/>
      <c r="H72" s="118"/>
      <c r="I72" s="118"/>
      <c r="J72" s="118"/>
      <c r="K72" s="118"/>
      <c r="L72" s="762"/>
      <c r="M72" s="118"/>
      <c r="N72" s="118"/>
      <c r="O72" s="118"/>
      <c r="P72" s="118"/>
      <c r="Q72" s="118"/>
      <c r="R72" s="118"/>
      <c r="S72" s="110"/>
      <c r="T72" s="110"/>
      <c r="U72" s="110"/>
      <c r="V72" s="118"/>
      <c r="W72" s="118"/>
      <c r="X72" s="118"/>
      <c r="Y72" s="118"/>
      <c r="Z72" s="118"/>
      <c r="AA72" s="118"/>
      <c r="AB72" s="118"/>
      <c r="AC72" s="118"/>
      <c r="AD72" s="118"/>
      <c r="AE72" s="118"/>
      <c r="AF72" s="118"/>
      <c r="AG72" s="118"/>
      <c r="AH72" s="118"/>
      <c r="AI72" s="118"/>
      <c r="AJ72" s="118"/>
      <c r="AK72" s="118"/>
      <c r="AL72" s="118"/>
      <c r="AM72" s="118"/>
      <c r="AN72" s="118"/>
      <c r="AO72" s="118"/>
      <c r="AP72" s="118"/>
      <c r="AQ72" s="118"/>
      <c r="AR72" s="118"/>
      <c r="AS72" s="118"/>
      <c r="AT72" s="118"/>
      <c r="AU72" s="118"/>
      <c r="AV72" s="118"/>
      <c r="AW72" s="118"/>
      <c r="AX72" s="118"/>
      <c r="AY72" s="118"/>
      <c r="AZ72" s="118"/>
      <c r="BA72" s="118"/>
      <c r="BB72" s="118"/>
      <c r="BC72" s="118"/>
      <c r="BD72" s="118"/>
      <c r="BE72" s="118"/>
      <c r="BF72" s="118"/>
      <c r="BG72" s="118"/>
      <c r="BH72" s="118"/>
      <c r="BI72" s="118"/>
      <c r="BJ72" s="118"/>
      <c r="BK72" s="118"/>
      <c r="BL72" s="118"/>
      <c r="BM72" s="118"/>
      <c r="BN72" s="118"/>
      <c r="BO72" s="118"/>
      <c r="BP72" s="118"/>
      <c r="BQ72" s="118"/>
      <c r="BR72" s="118"/>
    </row>
  </sheetData>
  <sheetProtection algorithmName="SHA-512" hashValue="1tPWpVKnNCgIVAE+ARBVgrFdH9Nl8JsC7OvK6gzWSYpTM9+4+CMUNpqm6FQ95ZNLf/OBZp6lCa+LFJc2Ac+3Rg==" saltValue="wqkXVv7C/ksFlrxF0Nl5Cw==" spinCount="100000" sheet="1" objects="1" scenarios="1"/>
  <mergeCells count="1">
    <mergeCell ref="G22:Q22"/>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BX62"/>
  <sheetViews>
    <sheetView topLeftCell="A10" workbookViewId="0">
      <selection activeCell="Q41" sqref="Q41"/>
    </sheetView>
  </sheetViews>
  <sheetFormatPr defaultColWidth="9.85546875" defaultRowHeight="11.1" customHeight="1" x14ac:dyDescent="0.2"/>
  <cols>
    <col min="1" max="1" width="4.85546875" style="637" customWidth="1"/>
    <col min="2" max="2" width="5.28515625" style="637" customWidth="1"/>
    <col min="3" max="3" width="25" style="712" customWidth="1"/>
    <col min="4" max="4" width="4.140625" style="712" customWidth="1"/>
    <col min="5" max="10" width="7.5703125" style="643" customWidth="1"/>
    <col min="11" max="11" width="8.85546875" style="629" customWidth="1"/>
    <col min="12" max="17" width="7.5703125" style="629" customWidth="1"/>
    <col min="18" max="18" width="8.85546875" style="629" customWidth="1"/>
    <col min="19" max="19" width="3.140625" style="629" customWidth="1"/>
    <col min="20" max="20" width="15.85546875" style="629" customWidth="1"/>
    <col min="21" max="76" width="9.85546875" style="629"/>
    <col min="77" max="256" width="9.85546875" style="630"/>
    <col min="257" max="257" width="4.85546875" style="630" customWidth="1"/>
    <col min="258" max="258" width="5.28515625" style="630" customWidth="1"/>
    <col min="259" max="259" width="25" style="630" customWidth="1"/>
    <col min="260" max="260" width="4.140625" style="630" customWidth="1"/>
    <col min="261" max="266" width="7.5703125" style="630" customWidth="1"/>
    <col min="267" max="267" width="8.85546875" style="630" customWidth="1"/>
    <col min="268" max="273" width="7.5703125" style="630" customWidth="1"/>
    <col min="274" max="274" width="8.85546875" style="630" customWidth="1"/>
    <col min="275" max="512" width="9.85546875" style="630"/>
    <col min="513" max="513" width="4.85546875" style="630" customWidth="1"/>
    <col min="514" max="514" width="5.28515625" style="630" customWidth="1"/>
    <col min="515" max="515" width="25" style="630" customWidth="1"/>
    <col min="516" max="516" width="4.140625" style="630" customWidth="1"/>
    <col min="517" max="522" width="7.5703125" style="630" customWidth="1"/>
    <col min="523" max="523" width="8.85546875" style="630" customWidth="1"/>
    <col min="524" max="529" width="7.5703125" style="630" customWidth="1"/>
    <col min="530" max="530" width="8.85546875" style="630" customWidth="1"/>
    <col min="531" max="768" width="9.85546875" style="630"/>
    <col min="769" max="769" width="4.85546875" style="630" customWidth="1"/>
    <col min="770" max="770" width="5.28515625" style="630" customWidth="1"/>
    <col min="771" max="771" width="25" style="630" customWidth="1"/>
    <col min="772" max="772" width="4.140625" style="630" customWidth="1"/>
    <col min="773" max="778" width="7.5703125" style="630" customWidth="1"/>
    <col min="779" max="779" width="8.85546875" style="630" customWidth="1"/>
    <col min="780" max="785" width="7.5703125" style="630" customWidth="1"/>
    <col min="786" max="786" width="8.85546875" style="630" customWidth="1"/>
    <col min="787" max="1024" width="9.85546875" style="630"/>
    <col min="1025" max="1025" width="4.85546875" style="630" customWidth="1"/>
    <col min="1026" max="1026" width="5.28515625" style="630" customWidth="1"/>
    <col min="1027" max="1027" width="25" style="630" customWidth="1"/>
    <col min="1028" max="1028" width="4.140625" style="630" customWidth="1"/>
    <col min="1029" max="1034" width="7.5703125" style="630" customWidth="1"/>
    <col min="1035" max="1035" width="8.85546875" style="630" customWidth="1"/>
    <col min="1036" max="1041" width="7.5703125" style="630" customWidth="1"/>
    <col min="1042" max="1042" width="8.85546875" style="630" customWidth="1"/>
    <col min="1043" max="1280" width="9.85546875" style="630"/>
    <col min="1281" max="1281" width="4.85546875" style="630" customWidth="1"/>
    <col min="1282" max="1282" width="5.28515625" style="630" customWidth="1"/>
    <col min="1283" max="1283" width="25" style="630" customWidth="1"/>
    <col min="1284" max="1284" width="4.140625" style="630" customWidth="1"/>
    <col min="1285" max="1290" width="7.5703125" style="630" customWidth="1"/>
    <col min="1291" max="1291" width="8.85546875" style="630" customWidth="1"/>
    <col min="1292" max="1297" width="7.5703125" style="630" customWidth="1"/>
    <col min="1298" max="1298" width="8.85546875" style="630" customWidth="1"/>
    <col min="1299" max="1536" width="9.85546875" style="630"/>
    <col min="1537" max="1537" width="4.85546875" style="630" customWidth="1"/>
    <col min="1538" max="1538" width="5.28515625" style="630" customWidth="1"/>
    <col min="1539" max="1539" width="25" style="630" customWidth="1"/>
    <col min="1540" max="1540" width="4.140625" style="630" customWidth="1"/>
    <col min="1541" max="1546" width="7.5703125" style="630" customWidth="1"/>
    <col min="1547" max="1547" width="8.85546875" style="630" customWidth="1"/>
    <col min="1548" max="1553" width="7.5703125" style="630" customWidth="1"/>
    <col min="1554" max="1554" width="8.85546875" style="630" customWidth="1"/>
    <col min="1555" max="1792" width="9.85546875" style="630"/>
    <col min="1793" max="1793" width="4.85546875" style="630" customWidth="1"/>
    <col min="1794" max="1794" width="5.28515625" style="630" customWidth="1"/>
    <col min="1795" max="1795" width="25" style="630" customWidth="1"/>
    <col min="1796" max="1796" width="4.140625" style="630" customWidth="1"/>
    <col min="1797" max="1802" width="7.5703125" style="630" customWidth="1"/>
    <col min="1803" max="1803" width="8.85546875" style="630" customWidth="1"/>
    <col min="1804" max="1809" width="7.5703125" style="630" customWidth="1"/>
    <col min="1810" max="1810" width="8.85546875" style="630" customWidth="1"/>
    <col min="1811" max="2048" width="9.85546875" style="630"/>
    <col min="2049" max="2049" width="4.85546875" style="630" customWidth="1"/>
    <col min="2050" max="2050" width="5.28515625" style="630" customWidth="1"/>
    <col min="2051" max="2051" width="25" style="630" customWidth="1"/>
    <col min="2052" max="2052" width="4.140625" style="630" customWidth="1"/>
    <col min="2053" max="2058" width="7.5703125" style="630" customWidth="1"/>
    <col min="2059" max="2059" width="8.85546875" style="630" customWidth="1"/>
    <col min="2060" max="2065" width="7.5703125" style="630" customWidth="1"/>
    <col min="2066" max="2066" width="8.85546875" style="630" customWidth="1"/>
    <col min="2067" max="2304" width="9.85546875" style="630"/>
    <col min="2305" max="2305" width="4.85546875" style="630" customWidth="1"/>
    <col min="2306" max="2306" width="5.28515625" style="630" customWidth="1"/>
    <col min="2307" max="2307" width="25" style="630" customWidth="1"/>
    <col min="2308" max="2308" width="4.140625" style="630" customWidth="1"/>
    <col min="2309" max="2314" width="7.5703125" style="630" customWidth="1"/>
    <col min="2315" max="2315" width="8.85546875" style="630" customWidth="1"/>
    <col min="2316" max="2321" width="7.5703125" style="630" customWidth="1"/>
    <col min="2322" max="2322" width="8.85546875" style="630" customWidth="1"/>
    <col min="2323" max="2560" width="9.85546875" style="630"/>
    <col min="2561" max="2561" width="4.85546875" style="630" customWidth="1"/>
    <col min="2562" max="2562" width="5.28515625" style="630" customWidth="1"/>
    <col min="2563" max="2563" width="25" style="630" customWidth="1"/>
    <col min="2564" max="2564" width="4.140625" style="630" customWidth="1"/>
    <col min="2565" max="2570" width="7.5703125" style="630" customWidth="1"/>
    <col min="2571" max="2571" width="8.85546875" style="630" customWidth="1"/>
    <col min="2572" max="2577" width="7.5703125" style="630" customWidth="1"/>
    <col min="2578" max="2578" width="8.85546875" style="630" customWidth="1"/>
    <col min="2579" max="2816" width="9.85546875" style="630"/>
    <col min="2817" max="2817" width="4.85546875" style="630" customWidth="1"/>
    <col min="2818" max="2818" width="5.28515625" style="630" customWidth="1"/>
    <col min="2819" max="2819" width="25" style="630" customWidth="1"/>
    <col min="2820" max="2820" width="4.140625" style="630" customWidth="1"/>
    <col min="2821" max="2826" width="7.5703125" style="630" customWidth="1"/>
    <col min="2827" max="2827" width="8.85546875" style="630" customWidth="1"/>
    <col min="2828" max="2833" width="7.5703125" style="630" customWidth="1"/>
    <col min="2834" max="2834" width="8.85546875" style="630" customWidth="1"/>
    <col min="2835" max="3072" width="9.85546875" style="630"/>
    <col min="3073" max="3073" width="4.85546875" style="630" customWidth="1"/>
    <col min="3074" max="3074" width="5.28515625" style="630" customWidth="1"/>
    <col min="3075" max="3075" width="25" style="630" customWidth="1"/>
    <col min="3076" max="3076" width="4.140625" style="630" customWidth="1"/>
    <col min="3077" max="3082" width="7.5703125" style="630" customWidth="1"/>
    <col min="3083" max="3083" width="8.85546875" style="630" customWidth="1"/>
    <col min="3084" max="3089" width="7.5703125" style="630" customWidth="1"/>
    <col min="3090" max="3090" width="8.85546875" style="630" customWidth="1"/>
    <col min="3091" max="3328" width="9.85546875" style="630"/>
    <col min="3329" max="3329" width="4.85546875" style="630" customWidth="1"/>
    <col min="3330" max="3330" width="5.28515625" style="630" customWidth="1"/>
    <col min="3331" max="3331" width="25" style="630" customWidth="1"/>
    <col min="3332" max="3332" width="4.140625" style="630" customWidth="1"/>
    <col min="3333" max="3338" width="7.5703125" style="630" customWidth="1"/>
    <col min="3339" max="3339" width="8.85546875" style="630" customWidth="1"/>
    <col min="3340" max="3345" width="7.5703125" style="630" customWidth="1"/>
    <col min="3346" max="3346" width="8.85546875" style="630" customWidth="1"/>
    <col min="3347" max="3584" width="9.85546875" style="630"/>
    <col min="3585" max="3585" width="4.85546875" style="630" customWidth="1"/>
    <col min="3586" max="3586" width="5.28515625" style="630" customWidth="1"/>
    <col min="3587" max="3587" width="25" style="630" customWidth="1"/>
    <col min="3588" max="3588" width="4.140625" style="630" customWidth="1"/>
    <col min="3589" max="3594" width="7.5703125" style="630" customWidth="1"/>
    <col min="3595" max="3595" width="8.85546875" style="630" customWidth="1"/>
    <col min="3596" max="3601" width="7.5703125" style="630" customWidth="1"/>
    <col min="3602" max="3602" width="8.85546875" style="630" customWidth="1"/>
    <col min="3603" max="3840" width="9.85546875" style="630"/>
    <col min="3841" max="3841" width="4.85546875" style="630" customWidth="1"/>
    <col min="3842" max="3842" width="5.28515625" style="630" customWidth="1"/>
    <col min="3843" max="3843" width="25" style="630" customWidth="1"/>
    <col min="3844" max="3844" width="4.140625" style="630" customWidth="1"/>
    <col min="3845" max="3850" width="7.5703125" style="630" customWidth="1"/>
    <col min="3851" max="3851" width="8.85546875" style="630" customWidth="1"/>
    <col min="3852" max="3857" width="7.5703125" style="630" customWidth="1"/>
    <col min="3858" max="3858" width="8.85546875" style="630" customWidth="1"/>
    <col min="3859" max="4096" width="9.85546875" style="630"/>
    <col min="4097" max="4097" width="4.85546875" style="630" customWidth="1"/>
    <col min="4098" max="4098" width="5.28515625" style="630" customWidth="1"/>
    <col min="4099" max="4099" width="25" style="630" customWidth="1"/>
    <col min="4100" max="4100" width="4.140625" style="630" customWidth="1"/>
    <col min="4101" max="4106" width="7.5703125" style="630" customWidth="1"/>
    <col min="4107" max="4107" width="8.85546875" style="630" customWidth="1"/>
    <col min="4108" max="4113" width="7.5703125" style="630" customWidth="1"/>
    <col min="4114" max="4114" width="8.85546875" style="630" customWidth="1"/>
    <col min="4115" max="4352" width="9.85546875" style="630"/>
    <col min="4353" max="4353" width="4.85546875" style="630" customWidth="1"/>
    <col min="4354" max="4354" width="5.28515625" style="630" customWidth="1"/>
    <col min="4355" max="4355" width="25" style="630" customWidth="1"/>
    <col min="4356" max="4356" width="4.140625" style="630" customWidth="1"/>
    <col min="4357" max="4362" width="7.5703125" style="630" customWidth="1"/>
    <col min="4363" max="4363" width="8.85546875" style="630" customWidth="1"/>
    <col min="4364" max="4369" width="7.5703125" style="630" customWidth="1"/>
    <col min="4370" max="4370" width="8.85546875" style="630" customWidth="1"/>
    <col min="4371" max="4608" width="9.85546875" style="630"/>
    <col min="4609" max="4609" width="4.85546875" style="630" customWidth="1"/>
    <col min="4610" max="4610" width="5.28515625" style="630" customWidth="1"/>
    <col min="4611" max="4611" width="25" style="630" customWidth="1"/>
    <col min="4612" max="4612" width="4.140625" style="630" customWidth="1"/>
    <col min="4613" max="4618" width="7.5703125" style="630" customWidth="1"/>
    <col min="4619" max="4619" width="8.85546875" style="630" customWidth="1"/>
    <col min="4620" max="4625" width="7.5703125" style="630" customWidth="1"/>
    <col min="4626" max="4626" width="8.85546875" style="630" customWidth="1"/>
    <col min="4627" max="4864" width="9.85546875" style="630"/>
    <col min="4865" max="4865" width="4.85546875" style="630" customWidth="1"/>
    <col min="4866" max="4866" width="5.28515625" style="630" customWidth="1"/>
    <col min="4867" max="4867" width="25" style="630" customWidth="1"/>
    <col min="4868" max="4868" width="4.140625" style="630" customWidth="1"/>
    <col min="4869" max="4874" width="7.5703125" style="630" customWidth="1"/>
    <col min="4875" max="4875" width="8.85546875" style="630" customWidth="1"/>
    <col min="4876" max="4881" width="7.5703125" style="630" customWidth="1"/>
    <col min="4882" max="4882" width="8.85546875" style="630" customWidth="1"/>
    <col min="4883" max="5120" width="9.85546875" style="630"/>
    <col min="5121" max="5121" width="4.85546875" style="630" customWidth="1"/>
    <col min="5122" max="5122" width="5.28515625" style="630" customWidth="1"/>
    <col min="5123" max="5123" width="25" style="630" customWidth="1"/>
    <col min="5124" max="5124" width="4.140625" style="630" customWidth="1"/>
    <col min="5125" max="5130" width="7.5703125" style="630" customWidth="1"/>
    <col min="5131" max="5131" width="8.85546875" style="630" customWidth="1"/>
    <col min="5132" max="5137" width="7.5703125" style="630" customWidth="1"/>
    <col min="5138" max="5138" width="8.85546875" style="630" customWidth="1"/>
    <col min="5139" max="5376" width="9.85546875" style="630"/>
    <col min="5377" max="5377" width="4.85546875" style="630" customWidth="1"/>
    <col min="5378" max="5378" width="5.28515625" style="630" customWidth="1"/>
    <col min="5379" max="5379" width="25" style="630" customWidth="1"/>
    <col min="5380" max="5380" width="4.140625" style="630" customWidth="1"/>
    <col min="5381" max="5386" width="7.5703125" style="630" customWidth="1"/>
    <col min="5387" max="5387" width="8.85546875" style="630" customWidth="1"/>
    <col min="5388" max="5393" width="7.5703125" style="630" customWidth="1"/>
    <col min="5394" max="5394" width="8.85546875" style="630" customWidth="1"/>
    <col min="5395" max="5632" width="9.85546875" style="630"/>
    <col min="5633" max="5633" width="4.85546875" style="630" customWidth="1"/>
    <col min="5634" max="5634" width="5.28515625" style="630" customWidth="1"/>
    <col min="5635" max="5635" width="25" style="630" customWidth="1"/>
    <col min="5636" max="5636" width="4.140625" style="630" customWidth="1"/>
    <col min="5637" max="5642" width="7.5703125" style="630" customWidth="1"/>
    <col min="5643" max="5643" width="8.85546875" style="630" customWidth="1"/>
    <col min="5644" max="5649" width="7.5703125" style="630" customWidth="1"/>
    <col min="5650" max="5650" width="8.85546875" style="630" customWidth="1"/>
    <col min="5651" max="5888" width="9.85546875" style="630"/>
    <col min="5889" max="5889" width="4.85546875" style="630" customWidth="1"/>
    <col min="5890" max="5890" width="5.28515625" style="630" customWidth="1"/>
    <col min="5891" max="5891" width="25" style="630" customWidth="1"/>
    <col min="5892" max="5892" width="4.140625" style="630" customWidth="1"/>
    <col min="5893" max="5898" width="7.5703125" style="630" customWidth="1"/>
    <col min="5899" max="5899" width="8.85546875" style="630" customWidth="1"/>
    <col min="5900" max="5905" width="7.5703125" style="630" customWidth="1"/>
    <col min="5906" max="5906" width="8.85546875" style="630" customWidth="1"/>
    <col min="5907" max="6144" width="9.85546875" style="630"/>
    <col min="6145" max="6145" width="4.85546875" style="630" customWidth="1"/>
    <col min="6146" max="6146" width="5.28515625" style="630" customWidth="1"/>
    <col min="6147" max="6147" width="25" style="630" customWidth="1"/>
    <col min="6148" max="6148" width="4.140625" style="630" customWidth="1"/>
    <col min="6149" max="6154" width="7.5703125" style="630" customWidth="1"/>
    <col min="6155" max="6155" width="8.85546875" style="630" customWidth="1"/>
    <col min="6156" max="6161" width="7.5703125" style="630" customWidth="1"/>
    <col min="6162" max="6162" width="8.85546875" style="630" customWidth="1"/>
    <col min="6163" max="6400" width="9.85546875" style="630"/>
    <col min="6401" max="6401" width="4.85546875" style="630" customWidth="1"/>
    <col min="6402" max="6402" width="5.28515625" style="630" customWidth="1"/>
    <col min="6403" max="6403" width="25" style="630" customWidth="1"/>
    <col min="6404" max="6404" width="4.140625" style="630" customWidth="1"/>
    <col min="6405" max="6410" width="7.5703125" style="630" customWidth="1"/>
    <col min="6411" max="6411" width="8.85546875" style="630" customWidth="1"/>
    <col min="6412" max="6417" width="7.5703125" style="630" customWidth="1"/>
    <col min="6418" max="6418" width="8.85546875" style="630" customWidth="1"/>
    <col min="6419" max="6656" width="9.85546875" style="630"/>
    <col min="6657" max="6657" width="4.85546875" style="630" customWidth="1"/>
    <col min="6658" max="6658" width="5.28515625" style="630" customWidth="1"/>
    <col min="6659" max="6659" width="25" style="630" customWidth="1"/>
    <col min="6660" max="6660" width="4.140625" style="630" customWidth="1"/>
    <col min="6661" max="6666" width="7.5703125" style="630" customWidth="1"/>
    <col min="6667" max="6667" width="8.85546875" style="630" customWidth="1"/>
    <col min="6668" max="6673" width="7.5703125" style="630" customWidth="1"/>
    <col min="6674" max="6674" width="8.85546875" style="630" customWidth="1"/>
    <col min="6675" max="6912" width="9.85546875" style="630"/>
    <col min="6913" max="6913" width="4.85546875" style="630" customWidth="1"/>
    <col min="6914" max="6914" width="5.28515625" style="630" customWidth="1"/>
    <col min="6915" max="6915" width="25" style="630" customWidth="1"/>
    <col min="6916" max="6916" width="4.140625" style="630" customWidth="1"/>
    <col min="6917" max="6922" width="7.5703125" style="630" customWidth="1"/>
    <col min="6923" max="6923" width="8.85546875" style="630" customWidth="1"/>
    <col min="6924" max="6929" width="7.5703125" style="630" customWidth="1"/>
    <col min="6930" max="6930" width="8.85546875" style="630" customWidth="1"/>
    <col min="6931" max="7168" width="9.85546875" style="630"/>
    <col min="7169" max="7169" width="4.85546875" style="630" customWidth="1"/>
    <col min="7170" max="7170" width="5.28515625" style="630" customWidth="1"/>
    <col min="7171" max="7171" width="25" style="630" customWidth="1"/>
    <col min="7172" max="7172" width="4.140625" style="630" customWidth="1"/>
    <col min="7173" max="7178" width="7.5703125" style="630" customWidth="1"/>
    <col min="7179" max="7179" width="8.85546875" style="630" customWidth="1"/>
    <col min="7180" max="7185" width="7.5703125" style="630" customWidth="1"/>
    <col min="7186" max="7186" width="8.85546875" style="630" customWidth="1"/>
    <col min="7187" max="7424" width="9.85546875" style="630"/>
    <col min="7425" max="7425" width="4.85546875" style="630" customWidth="1"/>
    <col min="7426" max="7426" width="5.28515625" style="630" customWidth="1"/>
    <col min="7427" max="7427" width="25" style="630" customWidth="1"/>
    <col min="7428" max="7428" width="4.140625" style="630" customWidth="1"/>
    <col min="7429" max="7434" width="7.5703125" style="630" customWidth="1"/>
    <col min="7435" max="7435" width="8.85546875" style="630" customWidth="1"/>
    <col min="7436" max="7441" width="7.5703125" style="630" customWidth="1"/>
    <col min="7442" max="7442" width="8.85546875" style="630" customWidth="1"/>
    <col min="7443" max="7680" width="9.85546875" style="630"/>
    <col min="7681" max="7681" width="4.85546875" style="630" customWidth="1"/>
    <col min="7682" max="7682" width="5.28515625" style="630" customWidth="1"/>
    <col min="7683" max="7683" width="25" style="630" customWidth="1"/>
    <col min="7684" max="7684" width="4.140625" style="630" customWidth="1"/>
    <col min="7685" max="7690" width="7.5703125" style="630" customWidth="1"/>
    <col min="7691" max="7691" width="8.85546875" style="630" customWidth="1"/>
    <col min="7692" max="7697" width="7.5703125" style="630" customWidth="1"/>
    <col min="7698" max="7698" width="8.85546875" style="630" customWidth="1"/>
    <col min="7699" max="7936" width="9.85546875" style="630"/>
    <col min="7937" max="7937" width="4.85546875" style="630" customWidth="1"/>
    <col min="7938" max="7938" width="5.28515625" style="630" customWidth="1"/>
    <col min="7939" max="7939" width="25" style="630" customWidth="1"/>
    <col min="7940" max="7940" width="4.140625" style="630" customWidth="1"/>
    <col min="7941" max="7946" width="7.5703125" style="630" customWidth="1"/>
    <col min="7947" max="7947" width="8.85546875" style="630" customWidth="1"/>
    <col min="7948" max="7953" width="7.5703125" style="630" customWidth="1"/>
    <col min="7954" max="7954" width="8.85546875" style="630" customWidth="1"/>
    <col min="7955" max="8192" width="9.85546875" style="630"/>
    <col min="8193" max="8193" width="4.85546875" style="630" customWidth="1"/>
    <col min="8194" max="8194" width="5.28515625" style="630" customWidth="1"/>
    <col min="8195" max="8195" width="25" style="630" customWidth="1"/>
    <col min="8196" max="8196" width="4.140625" style="630" customWidth="1"/>
    <col min="8197" max="8202" width="7.5703125" style="630" customWidth="1"/>
    <col min="8203" max="8203" width="8.85546875" style="630" customWidth="1"/>
    <col min="8204" max="8209" width="7.5703125" style="630" customWidth="1"/>
    <col min="8210" max="8210" width="8.85546875" style="630" customWidth="1"/>
    <col min="8211" max="8448" width="9.85546875" style="630"/>
    <col min="8449" max="8449" width="4.85546875" style="630" customWidth="1"/>
    <col min="8450" max="8450" width="5.28515625" style="630" customWidth="1"/>
    <col min="8451" max="8451" width="25" style="630" customWidth="1"/>
    <col min="8452" max="8452" width="4.140625" style="630" customWidth="1"/>
    <col min="8453" max="8458" width="7.5703125" style="630" customWidth="1"/>
    <col min="8459" max="8459" width="8.85546875" style="630" customWidth="1"/>
    <col min="8460" max="8465" width="7.5703125" style="630" customWidth="1"/>
    <col min="8466" max="8466" width="8.85546875" style="630" customWidth="1"/>
    <col min="8467" max="8704" width="9.85546875" style="630"/>
    <col min="8705" max="8705" width="4.85546875" style="630" customWidth="1"/>
    <col min="8706" max="8706" width="5.28515625" style="630" customWidth="1"/>
    <col min="8707" max="8707" width="25" style="630" customWidth="1"/>
    <col min="8708" max="8708" width="4.140625" style="630" customWidth="1"/>
    <col min="8709" max="8714" width="7.5703125" style="630" customWidth="1"/>
    <col min="8715" max="8715" width="8.85546875" style="630" customWidth="1"/>
    <col min="8716" max="8721" width="7.5703125" style="630" customWidth="1"/>
    <col min="8722" max="8722" width="8.85546875" style="630" customWidth="1"/>
    <col min="8723" max="8960" width="9.85546875" style="630"/>
    <col min="8961" max="8961" width="4.85546875" style="630" customWidth="1"/>
    <col min="8962" max="8962" width="5.28515625" style="630" customWidth="1"/>
    <col min="8963" max="8963" width="25" style="630" customWidth="1"/>
    <col min="8964" max="8964" width="4.140625" style="630" customWidth="1"/>
    <col min="8965" max="8970" width="7.5703125" style="630" customWidth="1"/>
    <col min="8971" max="8971" width="8.85546875" style="630" customWidth="1"/>
    <col min="8972" max="8977" width="7.5703125" style="630" customWidth="1"/>
    <col min="8978" max="8978" width="8.85546875" style="630" customWidth="1"/>
    <col min="8979" max="9216" width="9.85546875" style="630"/>
    <col min="9217" max="9217" width="4.85546875" style="630" customWidth="1"/>
    <col min="9218" max="9218" width="5.28515625" style="630" customWidth="1"/>
    <col min="9219" max="9219" width="25" style="630" customWidth="1"/>
    <col min="9220" max="9220" width="4.140625" style="630" customWidth="1"/>
    <col min="9221" max="9226" width="7.5703125" style="630" customWidth="1"/>
    <col min="9227" max="9227" width="8.85546875" style="630" customWidth="1"/>
    <col min="9228" max="9233" width="7.5703125" style="630" customWidth="1"/>
    <col min="9234" max="9234" width="8.85546875" style="630" customWidth="1"/>
    <col min="9235" max="9472" width="9.85546875" style="630"/>
    <col min="9473" max="9473" width="4.85546875" style="630" customWidth="1"/>
    <col min="9474" max="9474" width="5.28515625" style="630" customWidth="1"/>
    <col min="9475" max="9475" width="25" style="630" customWidth="1"/>
    <col min="9476" max="9476" width="4.140625" style="630" customWidth="1"/>
    <col min="9477" max="9482" width="7.5703125" style="630" customWidth="1"/>
    <col min="9483" max="9483" width="8.85546875" style="630" customWidth="1"/>
    <col min="9484" max="9489" width="7.5703125" style="630" customWidth="1"/>
    <col min="9490" max="9490" width="8.85546875" style="630" customWidth="1"/>
    <col min="9491" max="9728" width="9.85546875" style="630"/>
    <col min="9729" max="9729" width="4.85546875" style="630" customWidth="1"/>
    <col min="9730" max="9730" width="5.28515625" style="630" customWidth="1"/>
    <col min="9731" max="9731" width="25" style="630" customWidth="1"/>
    <col min="9732" max="9732" width="4.140625" style="630" customWidth="1"/>
    <col min="9733" max="9738" width="7.5703125" style="630" customWidth="1"/>
    <col min="9739" max="9739" width="8.85546875" style="630" customWidth="1"/>
    <col min="9740" max="9745" width="7.5703125" style="630" customWidth="1"/>
    <col min="9746" max="9746" width="8.85546875" style="630" customWidth="1"/>
    <col min="9747" max="9984" width="9.85546875" style="630"/>
    <col min="9985" max="9985" width="4.85546875" style="630" customWidth="1"/>
    <col min="9986" max="9986" width="5.28515625" style="630" customWidth="1"/>
    <col min="9987" max="9987" width="25" style="630" customWidth="1"/>
    <col min="9988" max="9988" width="4.140625" style="630" customWidth="1"/>
    <col min="9989" max="9994" width="7.5703125" style="630" customWidth="1"/>
    <col min="9995" max="9995" width="8.85546875" style="630" customWidth="1"/>
    <col min="9996" max="10001" width="7.5703125" style="630" customWidth="1"/>
    <col min="10002" max="10002" width="8.85546875" style="630" customWidth="1"/>
    <col min="10003" max="10240" width="9.85546875" style="630"/>
    <col min="10241" max="10241" width="4.85546875" style="630" customWidth="1"/>
    <col min="10242" max="10242" width="5.28515625" style="630" customWidth="1"/>
    <col min="10243" max="10243" width="25" style="630" customWidth="1"/>
    <col min="10244" max="10244" width="4.140625" style="630" customWidth="1"/>
    <col min="10245" max="10250" width="7.5703125" style="630" customWidth="1"/>
    <col min="10251" max="10251" width="8.85546875" style="630" customWidth="1"/>
    <col min="10252" max="10257" width="7.5703125" style="630" customWidth="1"/>
    <col min="10258" max="10258" width="8.85546875" style="630" customWidth="1"/>
    <col min="10259" max="10496" width="9.85546875" style="630"/>
    <col min="10497" max="10497" width="4.85546875" style="630" customWidth="1"/>
    <col min="10498" max="10498" width="5.28515625" style="630" customWidth="1"/>
    <col min="10499" max="10499" width="25" style="630" customWidth="1"/>
    <col min="10500" max="10500" width="4.140625" style="630" customWidth="1"/>
    <col min="10501" max="10506" width="7.5703125" style="630" customWidth="1"/>
    <col min="10507" max="10507" width="8.85546875" style="630" customWidth="1"/>
    <col min="10508" max="10513" width="7.5703125" style="630" customWidth="1"/>
    <col min="10514" max="10514" width="8.85546875" style="630" customWidth="1"/>
    <col min="10515" max="10752" width="9.85546875" style="630"/>
    <col min="10753" max="10753" width="4.85546875" style="630" customWidth="1"/>
    <col min="10754" max="10754" width="5.28515625" style="630" customWidth="1"/>
    <col min="10755" max="10755" width="25" style="630" customWidth="1"/>
    <col min="10756" max="10756" width="4.140625" style="630" customWidth="1"/>
    <col min="10757" max="10762" width="7.5703125" style="630" customWidth="1"/>
    <col min="10763" max="10763" width="8.85546875" style="630" customWidth="1"/>
    <col min="10764" max="10769" width="7.5703125" style="630" customWidth="1"/>
    <col min="10770" max="10770" width="8.85546875" style="630" customWidth="1"/>
    <col min="10771" max="11008" width="9.85546875" style="630"/>
    <col min="11009" max="11009" width="4.85546875" style="630" customWidth="1"/>
    <col min="11010" max="11010" width="5.28515625" style="630" customWidth="1"/>
    <col min="11011" max="11011" width="25" style="630" customWidth="1"/>
    <col min="11012" max="11012" width="4.140625" style="630" customWidth="1"/>
    <col min="11013" max="11018" width="7.5703125" style="630" customWidth="1"/>
    <col min="11019" max="11019" width="8.85546875" style="630" customWidth="1"/>
    <col min="11020" max="11025" width="7.5703125" style="630" customWidth="1"/>
    <col min="11026" max="11026" width="8.85546875" style="630" customWidth="1"/>
    <col min="11027" max="11264" width="9.85546875" style="630"/>
    <col min="11265" max="11265" width="4.85546875" style="630" customWidth="1"/>
    <col min="11266" max="11266" width="5.28515625" style="630" customWidth="1"/>
    <col min="11267" max="11267" width="25" style="630" customWidth="1"/>
    <col min="11268" max="11268" width="4.140625" style="630" customWidth="1"/>
    <col min="11269" max="11274" width="7.5703125" style="630" customWidth="1"/>
    <col min="11275" max="11275" width="8.85546875" style="630" customWidth="1"/>
    <col min="11276" max="11281" width="7.5703125" style="630" customWidth="1"/>
    <col min="11282" max="11282" width="8.85546875" style="630" customWidth="1"/>
    <col min="11283" max="11520" width="9.85546875" style="630"/>
    <col min="11521" max="11521" width="4.85546875" style="630" customWidth="1"/>
    <col min="11522" max="11522" width="5.28515625" style="630" customWidth="1"/>
    <col min="11523" max="11523" width="25" style="630" customWidth="1"/>
    <col min="11524" max="11524" width="4.140625" style="630" customWidth="1"/>
    <col min="11525" max="11530" width="7.5703125" style="630" customWidth="1"/>
    <col min="11531" max="11531" width="8.85546875" style="630" customWidth="1"/>
    <col min="11532" max="11537" width="7.5703125" style="630" customWidth="1"/>
    <col min="11538" max="11538" width="8.85546875" style="630" customWidth="1"/>
    <col min="11539" max="11776" width="9.85546875" style="630"/>
    <col min="11777" max="11777" width="4.85546875" style="630" customWidth="1"/>
    <col min="11778" max="11778" width="5.28515625" style="630" customWidth="1"/>
    <col min="11779" max="11779" width="25" style="630" customWidth="1"/>
    <col min="11780" max="11780" width="4.140625" style="630" customWidth="1"/>
    <col min="11781" max="11786" width="7.5703125" style="630" customWidth="1"/>
    <col min="11787" max="11787" width="8.85546875" style="630" customWidth="1"/>
    <col min="11788" max="11793" width="7.5703125" style="630" customWidth="1"/>
    <col min="11794" max="11794" width="8.85546875" style="630" customWidth="1"/>
    <col min="11795" max="12032" width="9.85546875" style="630"/>
    <col min="12033" max="12033" width="4.85546875" style="630" customWidth="1"/>
    <col min="12034" max="12034" width="5.28515625" style="630" customWidth="1"/>
    <col min="12035" max="12035" width="25" style="630" customWidth="1"/>
    <col min="12036" max="12036" width="4.140625" style="630" customWidth="1"/>
    <col min="12037" max="12042" width="7.5703125" style="630" customWidth="1"/>
    <col min="12043" max="12043" width="8.85546875" style="630" customWidth="1"/>
    <col min="12044" max="12049" width="7.5703125" style="630" customWidth="1"/>
    <col min="12050" max="12050" width="8.85546875" style="630" customWidth="1"/>
    <col min="12051" max="12288" width="9.85546875" style="630"/>
    <col min="12289" max="12289" width="4.85546875" style="630" customWidth="1"/>
    <col min="12290" max="12290" width="5.28515625" style="630" customWidth="1"/>
    <col min="12291" max="12291" width="25" style="630" customWidth="1"/>
    <col min="12292" max="12292" width="4.140625" style="630" customWidth="1"/>
    <col min="12293" max="12298" width="7.5703125" style="630" customWidth="1"/>
    <col min="12299" max="12299" width="8.85546875" style="630" customWidth="1"/>
    <col min="12300" max="12305" width="7.5703125" style="630" customWidth="1"/>
    <col min="12306" max="12306" width="8.85546875" style="630" customWidth="1"/>
    <col min="12307" max="12544" width="9.85546875" style="630"/>
    <col min="12545" max="12545" width="4.85546875" style="630" customWidth="1"/>
    <col min="12546" max="12546" width="5.28515625" style="630" customWidth="1"/>
    <col min="12547" max="12547" width="25" style="630" customWidth="1"/>
    <col min="12548" max="12548" width="4.140625" style="630" customWidth="1"/>
    <col min="12549" max="12554" width="7.5703125" style="630" customWidth="1"/>
    <col min="12555" max="12555" width="8.85546875" style="630" customWidth="1"/>
    <col min="12556" max="12561" width="7.5703125" style="630" customWidth="1"/>
    <col min="12562" max="12562" width="8.85546875" style="630" customWidth="1"/>
    <col min="12563" max="12800" width="9.85546875" style="630"/>
    <col min="12801" max="12801" width="4.85546875" style="630" customWidth="1"/>
    <col min="12802" max="12802" width="5.28515625" style="630" customWidth="1"/>
    <col min="12803" max="12803" width="25" style="630" customWidth="1"/>
    <col min="12804" max="12804" width="4.140625" style="630" customWidth="1"/>
    <col min="12805" max="12810" width="7.5703125" style="630" customWidth="1"/>
    <col min="12811" max="12811" width="8.85546875" style="630" customWidth="1"/>
    <col min="12812" max="12817" width="7.5703125" style="630" customWidth="1"/>
    <col min="12818" max="12818" width="8.85546875" style="630" customWidth="1"/>
    <col min="12819" max="13056" width="9.85546875" style="630"/>
    <col min="13057" max="13057" width="4.85546875" style="630" customWidth="1"/>
    <col min="13058" max="13058" width="5.28515625" style="630" customWidth="1"/>
    <col min="13059" max="13059" width="25" style="630" customWidth="1"/>
    <col min="13060" max="13060" width="4.140625" style="630" customWidth="1"/>
    <col min="13061" max="13066" width="7.5703125" style="630" customWidth="1"/>
    <col min="13067" max="13067" width="8.85546875" style="630" customWidth="1"/>
    <col min="13068" max="13073" width="7.5703125" style="630" customWidth="1"/>
    <col min="13074" max="13074" width="8.85546875" style="630" customWidth="1"/>
    <col min="13075" max="13312" width="9.85546875" style="630"/>
    <col min="13313" max="13313" width="4.85546875" style="630" customWidth="1"/>
    <col min="13314" max="13314" width="5.28515625" style="630" customWidth="1"/>
    <col min="13315" max="13315" width="25" style="630" customWidth="1"/>
    <col min="13316" max="13316" width="4.140625" style="630" customWidth="1"/>
    <col min="13317" max="13322" width="7.5703125" style="630" customWidth="1"/>
    <col min="13323" max="13323" width="8.85546875" style="630" customWidth="1"/>
    <col min="13324" max="13329" width="7.5703125" style="630" customWidth="1"/>
    <col min="13330" max="13330" width="8.85546875" style="630" customWidth="1"/>
    <col min="13331" max="13568" width="9.85546875" style="630"/>
    <col min="13569" max="13569" width="4.85546875" style="630" customWidth="1"/>
    <col min="13570" max="13570" width="5.28515625" style="630" customWidth="1"/>
    <col min="13571" max="13571" width="25" style="630" customWidth="1"/>
    <col min="13572" max="13572" width="4.140625" style="630" customWidth="1"/>
    <col min="13573" max="13578" width="7.5703125" style="630" customWidth="1"/>
    <col min="13579" max="13579" width="8.85546875" style="630" customWidth="1"/>
    <col min="13580" max="13585" width="7.5703125" style="630" customWidth="1"/>
    <col min="13586" max="13586" width="8.85546875" style="630" customWidth="1"/>
    <col min="13587" max="13824" width="9.85546875" style="630"/>
    <col min="13825" max="13825" width="4.85546875" style="630" customWidth="1"/>
    <col min="13826" max="13826" width="5.28515625" style="630" customWidth="1"/>
    <col min="13827" max="13827" width="25" style="630" customWidth="1"/>
    <col min="13828" max="13828" width="4.140625" style="630" customWidth="1"/>
    <col min="13829" max="13834" width="7.5703125" style="630" customWidth="1"/>
    <col min="13835" max="13835" width="8.85546875" style="630" customWidth="1"/>
    <col min="13836" max="13841" width="7.5703125" style="630" customWidth="1"/>
    <col min="13842" max="13842" width="8.85546875" style="630" customWidth="1"/>
    <col min="13843" max="14080" width="9.85546875" style="630"/>
    <col min="14081" max="14081" width="4.85546875" style="630" customWidth="1"/>
    <col min="14082" max="14082" width="5.28515625" style="630" customWidth="1"/>
    <col min="14083" max="14083" width="25" style="630" customWidth="1"/>
    <col min="14084" max="14084" width="4.140625" style="630" customWidth="1"/>
    <col min="14085" max="14090" width="7.5703125" style="630" customWidth="1"/>
    <col min="14091" max="14091" width="8.85546875" style="630" customWidth="1"/>
    <col min="14092" max="14097" width="7.5703125" style="630" customWidth="1"/>
    <col min="14098" max="14098" width="8.85546875" style="630" customWidth="1"/>
    <col min="14099" max="14336" width="9.85546875" style="630"/>
    <col min="14337" max="14337" width="4.85546875" style="630" customWidth="1"/>
    <col min="14338" max="14338" width="5.28515625" style="630" customWidth="1"/>
    <col min="14339" max="14339" width="25" style="630" customWidth="1"/>
    <col min="14340" max="14340" width="4.140625" style="630" customWidth="1"/>
    <col min="14341" max="14346" width="7.5703125" style="630" customWidth="1"/>
    <col min="14347" max="14347" width="8.85546875" style="630" customWidth="1"/>
    <col min="14348" max="14353" width="7.5703125" style="630" customWidth="1"/>
    <col min="14354" max="14354" width="8.85546875" style="630" customWidth="1"/>
    <col min="14355" max="14592" width="9.85546875" style="630"/>
    <col min="14593" max="14593" width="4.85546875" style="630" customWidth="1"/>
    <col min="14594" max="14594" width="5.28515625" style="630" customWidth="1"/>
    <col min="14595" max="14595" width="25" style="630" customWidth="1"/>
    <col min="14596" max="14596" width="4.140625" style="630" customWidth="1"/>
    <col min="14597" max="14602" width="7.5703125" style="630" customWidth="1"/>
    <col min="14603" max="14603" width="8.85546875" style="630" customWidth="1"/>
    <col min="14604" max="14609" width="7.5703125" style="630" customWidth="1"/>
    <col min="14610" max="14610" width="8.85546875" style="630" customWidth="1"/>
    <col min="14611" max="14848" width="9.85546875" style="630"/>
    <col min="14849" max="14849" width="4.85546875" style="630" customWidth="1"/>
    <col min="14850" max="14850" width="5.28515625" style="630" customWidth="1"/>
    <col min="14851" max="14851" width="25" style="630" customWidth="1"/>
    <col min="14852" max="14852" width="4.140625" style="630" customWidth="1"/>
    <col min="14853" max="14858" width="7.5703125" style="630" customWidth="1"/>
    <col min="14859" max="14859" width="8.85546875" style="630" customWidth="1"/>
    <col min="14860" max="14865" width="7.5703125" style="630" customWidth="1"/>
    <col min="14866" max="14866" width="8.85546875" style="630" customWidth="1"/>
    <col min="14867" max="15104" width="9.85546875" style="630"/>
    <col min="15105" max="15105" width="4.85546875" style="630" customWidth="1"/>
    <col min="15106" max="15106" width="5.28515625" style="630" customWidth="1"/>
    <col min="15107" max="15107" width="25" style="630" customWidth="1"/>
    <col min="15108" max="15108" width="4.140625" style="630" customWidth="1"/>
    <col min="15109" max="15114" width="7.5703125" style="630" customWidth="1"/>
    <col min="15115" max="15115" width="8.85546875" style="630" customWidth="1"/>
    <col min="15116" max="15121" width="7.5703125" style="630" customWidth="1"/>
    <col min="15122" max="15122" width="8.85546875" style="630" customWidth="1"/>
    <col min="15123" max="15360" width="9.85546875" style="630"/>
    <col min="15361" max="15361" width="4.85546875" style="630" customWidth="1"/>
    <col min="15362" max="15362" width="5.28515625" style="630" customWidth="1"/>
    <col min="15363" max="15363" width="25" style="630" customWidth="1"/>
    <col min="15364" max="15364" width="4.140625" style="630" customWidth="1"/>
    <col min="15365" max="15370" width="7.5703125" style="630" customWidth="1"/>
    <col min="15371" max="15371" width="8.85546875" style="630" customWidth="1"/>
    <col min="15372" max="15377" width="7.5703125" style="630" customWidth="1"/>
    <col min="15378" max="15378" width="8.85546875" style="630" customWidth="1"/>
    <col min="15379" max="15616" width="9.85546875" style="630"/>
    <col min="15617" max="15617" width="4.85546875" style="630" customWidth="1"/>
    <col min="15618" max="15618" width="5.28515625" style="630" customWidth="1"/>
    <col min="15619" max="15619" width="25" style="630" customWidth="1"/>
    <col min="15620" max="15620" width="4.140625" style="630" customWidth="1"/>
    <col min="15621" max="15626" width="7.5703125" style="630" customWidth="1"/>
    <col min="15627" max="15627" width="8.85546875" style="630" customWidth="1"/>
    <col min="15628" max="15633" width="7.5703125" style="630" customWidth="1"/>
    <col min="15634" max="15634" width="8.85546875" style="630" customWidth="1"/>
    <col min="15635" max="15872" width="9.85546875" style="630"/>
    <col min="15873" max="15873" width="4.85546875" style="630" customWidth="1"/>
    <col min="15874" max="15874" width="5.28515625" style="630" customWidth="1"/>
    <col min="15875" max="15875" width="25" style="630" customWidth="1"/>
    <col min="15876" max="15876" width="4.140625" style="630" customWidth="1"/>
    <col min="15877" max="15882" width="7.5703125" style="630" customWidth="1"/>
    <col min="15883" max="15883" width="8.85546875" style="630" customWidth="1"/>
    <col min="15884" max="15889" width="7.5703125" style="630" customWidth="1"/>
    <col min="15890" max="15890" width="8.85546875" style="630" customWidth="1"/>
    <col min="15891" max="16128" width="9.85546875" style="630"/>
    <col min="16129" max="16129" width="4.85546875" style="630" customWidth="1"/>
    <col min="16130" max="16130" width="5.28515625" style="630" customWidth="1"/>
    <col min="16131" max="16131" width="25" style="630" customWidth="1"/>
    <col min="16132" max="16132" width="4.140625" style="630" customWidth="1"/>
    <col min="16133" max="16138" width="7.5703125" style="630" customWidth="1"/>
    <col min="16139" max="16139" width="8.85546875" style="630" customWidth="1"/>
    <col min="16140" max="16145" width="7.5703125" style="630" customWidth="1"/>
    <col min="16146" max="16146" width="8.85546875" style="630" customWidth="1"/>
    <col min="16147" max="16384" width="9.85546875" style="630"/>
  </cols>
  <sheetData>
    <row r="1" spans="1:76" s="620" customFormat="1" ht="15.75" customHeight="1" x14ac:dyDescent="0.2">
      <c r="A1" s="613" t="s">
        <v>540</v>
      </c>
      <c r="B1" s="614"/>
      <c r="C1" s="615"/>
      <c r="D1" s="616"/>
      <c r="E1" s="617"/>
      <c r="F1" s="617"/>
      <c r="G1" s="617"/>
      <c r="H1" s="617"/>
      <c r="I1" s="617"/>
      <c r="J1" s="618"/>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c r="AM1" s="619"/>
      <c r="AN1" s="619"/>
      <c r="AO1" s="619"/>
      <c r="AP1" s="619"/>
      <c r="AQ1" s="619"/>
      <c r="AR1" s="619"/>
      <c r="AS1" s="619"/>
      <c r="AT1" s="619"/>
      <c r="AU1" s="619"/>
      <c r="AV1" s="619"/>
      <c r="AW1" s="619"/>
      <c r="AX1" s="619"/>
      <c r="AY1" s="619"/>
      <c r="AZ1" s="619"/>
      <c r="BA1" s="619"/>
      <c r="BB1" s="619"/>
      <c r="BC1" s="619"/>
      <c r="BD1" s="619"/>
      <c r="BE1" s="619"/>
      <c r="BF1" s="619"/>
      <c r="BG1" s="619"/>
      <c r="BH1" s="619"/>
      <c r="BI1" s="619"/>
      <c r="BJ1" s="619"/>
      <c r="BK1" s="619"/>
      <c r="BL1" s="619"/>
      <c r="BM1" s="619"/>
      <c r="BN1" s="619"/>
      <c r="BO1" s="619"/>
      <c r="BP1" s="619"/>
      <c r="BQ1" s="619"/>
      <c r="BR1" s="619"/>
      <c r="BS1" s="619"/>
      <c r="BT1" s="619"/>
      <c r="BU1" s="619"/>
      <c r="BV1" s="619"/>
      <c r="BW1" s="619"/>
    </row>
    <row r="2" spans="1:76" s="620" customFormat="1" ht="15.75" customHeight="1" x14ac:dyDescent="0.2">
      <c r="A2" s="613" t="s">
        <v>617</v>
      </c>
      <c r="B2" s="614"/>
      <c r="D2" s="621"/>
      <c r="E2" s="622"/>
      <c r="F2" s="622"/>
      <c r="G2" s="622"/>
      <c r="H2" s="622"/>
      <c r="I2" s="622"/>
      <c r="J2" s="622"/>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M2" s="619"/>
      <c r="AN2" s="619"/>
      <c r="AO2" s="619"/>
      <c r="AP2" s="619"/>
      <c r="AQ2" s="619"/>
      <c r="AR2" s="619"/>
      <c r="AS2" s="619"/>
      <c r="AT2" s="619"/>
      <c r="AU2" s="619"/>
      <c r="AV2" s="619"/>
      <c r="AW2" s="619"/>
      <c r="AX2" s="619"/>
      <c r="AY2" s="619"/>
      <c r="AZ2" s="619"/>
      <c r="BA2" s="619"/>
      <c r="BB2" s="619"/>
      <c r="BC2" s="619"/>
      <c r="BD2" s="619"/>
      <c r="BE2" s="619"/>
      <c r="BF2" s="619"/>
      <c r="BG2" s="619"/>
      <c r="BH2" s="619"/>
      <c r="BI2" s="619"/>
      <c r="BJ2" s="619"/>
      <c r="BK2" s="619"/>
      <c r="BL2" s="619"/>
      <c r="BM2" s="619"/>
      <c r="BN2" s="619"/>
      <c r="BO2" s="619"/>
      <c r="BP2" s="619"/>
      <c r="BQ2" s="619"/>
      <c r="BR2" s="619"/>
      <c r="BS2" s="619"/>
      <c r="BT2" s="619"/>
      <c r="BU2" s="619"/>
      <c r="BV2" s="619"/>
      <c r="BW2" s="619"/>
    </row>
    <row r="3" spans="1:76" s="620" customFormat="1" ht="15.75" customHeight="1" x14ac:dyDescent="0.2">
      <c r="A3" s="623" t="s">
        <v>647</v>
      </c>
      <c r="B3" s="614"/>
      <c r="C3" s="624"/>
      <c r="D3" s="621"/>
      <c r="E3" s="622"/>
      <c r="F3" s="622"/>
      <c r="G3" s="622"/>
      <c r="H3" s="622"/>
      <c r="I3" s="622"/>
      <c r="J3" s="622"/>
      <c r="K3" s="619"/>
      <c r="L3" s="619"/>
      <c r="M3" s="619"/>
      <c r="N3" s="619"/>
      <c r="O3" s="619"/>
      <c r="P3" s="619"/>
      <c r="Q3" s="619"/>
      <c r="R3" s="619"/>
      <c r="S3" s="619"/>
      <c r="T3" s="619"/>
      <c r="U3" s="619"/>
      <c r="V3" s="619"/>
      <c r="W3" s="619"/>
      <c r="X3" s="619"/>
      <c r="Y3" s="619"/>
      <c r="Z3" s="619"/>
      <c r="AA3" s="619"/>
      <c r="AB3" s="619"/>
      <c r="AC3" s="619"/>
      <c r="AD3" s="619"/>
      <c r="AE3" s="619"/>
      <c r="AF3" s="619"/>
      <c r="AG3" s="619"/>
      <c r="AH3" s="619"/>
      <c r="AI3" s="619"/>
      <c r="AJ3" s="619"/>
      <c r="AK3" s="619"/>
      <c r="AL3" s="619"/>
      <c r="AM3" s="619"/>
      <c r="AN3" s="619"/>
      <c r="AO3" s="619"/>
      <c r="AP3" s="619"/>
      <c r="AQ3" s="619"/>
      <c r="AR3" s="619"/>
      <c r="AS3" s="619"/>
      <c r="AT3" s="619"/>
      <c r="AU3" s="619"/>
      <c r="AV3" s="619"/>
      <c r="AW3" s="619"/>
      <c r="AX3" s="619"/>
      <c r="AY3" s="619"/>
      <c r="AZ3" s="619"/>
      <c r="BA3" s="619"/>
      <c r="BB3" s="619"/>
      <c r="BC3" s="619"/>
      <c r="BD3" s="619"/>
      <c r="BE3" s="619"/>
      <c r="BF3" s="619"/>
      <c r="BG3" s="619"/>
      <c r="BH3" s="619"/>
      <c r="BI3" s="619"/>
      <c r="BJ3" s="619"/>
      <c r="BK3" s="619"/>
      <c r="BL3" s="619"/>
      <c r="BM3" s="619"/>
      <c r="BN3" s="619"/>
      <c r="BO3" s="619"/>
      <c r="BP3" s="619"/>
      <c r="BQ3" s="619"/>
      <c r="BR3" s="619"/>
      <c r="BS3" s="619"/>
      <c r="BT3" s="619"/>
      <c r="BU3" s="619"/>
      <c r="BV3" s="619"/>
      <c r="BW3" s="619"/>
    </row>
    <row r="4" spans="1:76" ht="6" customHeight="1" x14ac:dyDescent="0.2">
      <c r="A4" s="625"/>
      <c r="B4" s="625"/>
      <c r="C4" s="626"/>
      <c r="D4" s="626"/>
      <c r="E4" s="627"/>
      <c r="F4" s="627"/>
      <c r="G4" s="627"/>
      <c r="H4" s="627"/>
      <c r="I4" s="627"/>
      <c r="J4" s="627"/>
      <c r="K4" s="628"/>
      <c r="L4" s="627"/>
      <c r="M4" s="626"/>
      <c r="N4" s="626"/>
      <c r="O4" s="627"/>
      <c r="P4" s="627"/>
      <c r="Q4" s="627"/>
      <c r="R4" s="627"/>
      <c r="BX4" s="630"/>
    </row>
    <row r="5" spans="1:76" s="633" customFormat="1" ht="6" customHeight="1" x14ac:dyDescent="0.2">
      <c r="A5" s="631"/>
      <c r="B5" s="632"/>
      <c r="E5" s="634"/>
      <c r="F5" s="634"/>
      <c r="G5" s="634"/>
      <c r="H5" s="634"/>
      <c r="I5" s="634"/>
      <c r="J5" s="634"/>
      <c r="K5" s="629"/>
      <c r="L5" s="634"/>
      <c r="O5" s="634"/>
      <c r="P5" s="634"/>
      <c r="Q5" s="634"/>
      <c r="R5" s="634"/>
      <c r="S5" s="629"/>
      <c r="T5" s="629"/>
      <c r="U5" s="629"/>
      <c r="V5" s="629"/>
      <c r="W5" s="629"/>
      <c r="X5" s="629"/>
      <c r="Y5" s="629"/>
      <c r="Z5" s="629"/>
      <c r="AA5" s="629"/>
      <c r="AB5" s="629"/>
      <c r="AC5" s="629"/>
      <c r="AD5" s="629"/>
      <c r="AE5" s="629"/>
      <c r="AF5" s="629"/>
      <c r="AG5" s="629"/>
      <c r="AH5" s="629"/>
      <c r="AI5" s="629"/>
      <c r="AJ5" s="629"/>
      <c r="AK5" s="629"/>
      <c r="AL5" s="629"/>
      <c r="AM5" s="629"/>
      <c r="AN5" s="629"/>
      <c r="AO5" s="629"/>
      <c r="AP5" s="629"/>
      <c r="AQ5" s="629"/>
      <c r="AR5" s="629"/>
      <c r="AS5" s="629"/>
      <c r="AT5" s="629"/>
      <c r="AU5" s="629"/>
      <c r="AV5" s="629"/>
      <c r="AW5" s="629"/>
      <c r="AX5" s="629"/>
      <c r="AY5" s="629"/>
      <c r="AZ5" s="629"/>
      <c r="BA5" s="629"/>
      <c r="BB5" s="629"/>
      <c r="BC5" s="629"/>
      <c r="BD5" s="629"/>
      <c r="BE5" s="629"/>
      <c r="BF5" s="629"/>
      <c r="BG5" s="629"/>
      <c r="BH5" s="629"/>
      <c r="BI5" s="629"/>
      <c r="BJ5" s="629"/>
      <c r="BK5" s="629"/>
      <c r="BL5" s="629"/>
      <c r="BM5" s="629"/>
      <c r="BN5" s="629"/>
      <c r="BO5" s="629"/>
      <c r="BP5" s="629"/>
      <c r="BQ5" s="629"/>
      <c r="BR5" s="629"/>
      <c r="BS5" s="629"/>
      <c r="BT5" s="629"/>
      <c r="BU5" s="629"/>
      <c r="BV5" s="629"/>
      <c r="BW5" s="629"/>
    </row>
    <row r="6" spans="1:76" s="633" customFormat="1" ht="12.75" customHeight="1" x14ac:dyDescent="0.2">
      <c r="A6" s="631"/>
      <c r="B6" s="632"/>
      <c r="F6" s="635" t="s">
        <v>594</v>
      </c>
      <c r="G6" s="635"/>
      <c r="H6" s="635"/>
      <c r="I6" s="635"/>
      <c r="J6" s="635" t="s">
        <v>595</v>
      </c>
      <c r="K6" s="636"/>
      <c r="L6" s="635" t="s">
        <v>596</v>
      </c>
      <c r="M6" s="635"/>
      <c r="N6" s="635"/>
      <c r="O6" s="635"/>
      <c r="P6" s="635"/>
      <c r="Q6" s="635"/>
      <c r="R6" s="635"/>
      <c r="S6" s="629"/>
      <c r="T6" s="629"/>
      <c r="U6" s="629"/>
      <c r="V6" s="629"/>
      <c r="W6" s="629"/>
      <c r="X6" s="629"/>
      <c r="Y6" s="629"/>
      <c r="Z6" s="629"/>
      <c r="AA6" s="629"/>
      <c r="AB6" s="629"/>
      <c r="AC6" s="629"/>
      <c r="AD6" s="629"/>
      <c r="AE6" s="629"/>
      <c r="AF6" s="629"/>
      <c r="AG6" s="629"/>
      <c r="AH6" s="629"/>
      <c r="AI6" s="629"/>
      <c r="AJ6" s="629"/>
      <c r="AK6" s="629"/>
      <c r="AL6" s="629"/>
      <c r="AM6" s="629"/>
      <c r="AN6" s="629"/>
      <c r="AO6" s="629"/>
      <c r="AP6" s="629"/>
      <c r="AQ6" s="629"/>
      <c r="AR6" s="629"/>
      <c r="AS6" s="629"/>
      <c r="AT6" s="629"/>
      <c r="AU6" s="629"/>
      <c r="AV6" s="629"/>
      <c r="AW6" s="629"/>
      <c r="AX6" s="629"/>
      <c r="AY6" s="629"/>
      <c r="AZ6" s="629"/>
      <c r="BA6" s="629"/>
      <c r="BB6" s="629"/>
      <c r="BC6" s="629"/>
      <c r="BD6" s="629"/>
      <c r="BE6" s="629"/>
      <c r="BF6" s="629"/>
      <c r="BG6" s="629"/>
      <c r="BH6" s="629"/>
      <c r="BI6" s="629"/>
      <c r="BJ6" s="629"/>
      <c r="BK6" s="629"/>
      <c r="BL6" s="629"/>
      <c r="BM6" s="629"/>
      <c r="BN6" s="629"/>
      <c r="BO6" s="629"/>
      <c r="BP6" s="629"/>
      <c r="BQ6" s="629"/>
      <c r="BR6" s="629"/>
      <c r="BS6" s="629"/>
      <c r="BT6" s="629"/>
      <c r="BU6" s="629"/>
      <c r="BV6" s="629"/>
      <c r="BW6" s="629"/>
    </row>
    <row r="7" spans="1:76" ht="12.75" customHeight="1" x14ac:dyDescent="0.2">
      <c r="C7" s="638"/>
      <c r="D7" s="638"/>
      <c r="E7" s="630"/>
      <c r="F7" s="635" t="s">
        <v>597</v>
      </c>
      <c r="G7" s="636"/>
      <c r="H7" s="639" t="s">
        <v>598</v>
      </c>
      <c r="I7" s="636"/>
      <c r="J7" s="640" t="s">
        <v>527</v>
      </c>
      <c r="K7" s="641" t="s">
        <v>528</v>
      </c>
      <c r="L7" s="635" t="s">
        <v>529</v>
      </c>
      <c r="M7" s="642"/>
      <c r="N7" s="635" t="s">
        <v>530</v>
      </c>
      <c r="O7" s="642"/>
      <c r="P7" s="636"/>
      <c r="Q7" s="639" t="s">
        <v>599</v>
      </c>
      <c r="R7" s="636"/>
      <c r="S7" s="602"/>
      <c r="T7" s="602"/>
      <c r="U7" s="16" t="s">
        <v>527</v>
      </c>
      <c r="V7" s="17" t="s">
        <v>528</v>
      </c>
      <c r="W7" s="18" t="s">
        <v>529</v>
      </c>
      <c r="X7" s="19"/>
      <c r="Y7" s="18" t="s">
        <v>530</v>
      </c>
      <c r="Z7" s="19"/>
      <c r="AA7" s="20"/>
      <c r="BX7" s="630"/>
    </row>
    <row r="8" spans="1:76" ht="12.75" customHeight="1" x14ac:dyDescent="0.2">
      <c r="C8" s="643"/>
      <c r="D8" s="643"/>
      <c r="F8" s="640" t="s">
        <v>527</v>
      </c>
      <c r="G8" s="640" t="s">
        <v>600</v>
      </c>
      <c r="H8" s="640" t="s">
        <v>527</v>
      </c>
      <c r="I8" s="640" t="s">
        <v>528</v>
      </c>
      <c r="J8" s="641" t="s">
        <v>532</v>
      </c>
      <c r="K8" s="641" t="s">
        <v>533</v>
      </c>
      <c r="L8" s="640" t="s">
        <v>534</v>
      </c>
      <c r="M8" s="644" t="s">
        <v>534</v>
      </c>
      <c r="N8" s="641" t="s">
        <v>534</v>
      </c>
      <c r="O8" s="644" t="s">
        <v>534</v>
      </c>
      <c r="P8" s="644" t="s">
        <v>534</v>
      </c>
      <c r="Q8" s="644" t="s">
        <v>601</v>
      </c>
      <c r="R8" s="644" t="s">
        <v>534</v>
      </c>
      <c r="S8" s="602"/>
      <c r="T8" s="602"/>
      <c r="U8" s="17" t="s">
        <v>532</v>
      </c>
      <c r="V8" s="17" t="s">
        <v>533</v>
      </c>
      <c r="W8" s="16" t="s">
        <v>534</v>
      </c>
      <c r="X8" s="21" t="s">
        <v>534</v>
      </c>
      <c r="Y8" s="17" t="s">
        <v>534</v>
      </c>
      <c r="Z8" s="21" t="s">
        <v>534</v>
      </c>
      <c r="AA8" s="21" t="s">
        <v>534</v>
      </c>
      <c r="BX8" s="630"/>
    </row>
    <row r="9" spans="1:76" ht="12.75" customHeight="1" x14ac:dyDescent="0.2">
      <c r="C9" s="643"/>
      <c r="D9" s="643"/>
      <c r="F9" s="641" t="s">
        <v>532</v>
      </c>
      <c r="G9" s="640" t="s">
        <v>533</v>
      </c>
      <c r="H9" s="641" t="s">
        <v>532</v>
      </c>
      <c r="I9" s="640" t="s">
        <v>533</v>
      </c>
      <c r="J9" s="641" t="s">
        <v>536</v>
      </c>
      <c r="K9" s="641"/>
      <c r="L9" s="640" t="s">
        <v>537</v>
      </c>
      <c r="M9" s="640" t="s">
        <v>538</v>
      </c>
      <c r="N9" s="640" t="s">
        <v>537</v>
      </c>
      <c r="O9" s="640" t="s">
        <v>538</v>
      </c>
      <c r="P9" s="640" t="s">
        <v>539</v>
      </c>
      <c r="Q9" s="640" t="s">
        <v>543</v>
      </c>
      <c r="R9" s="640" t="s">
        <v>543</v>
      </c>
      <c r="S9" s="602"/>
      <c r="T9" s="602"/>
      <c r="U9" s="17" t="s">
        <v>536</v>
      </c>
      <c r="V9" s="17"/>
      <c r="W9" s="16" t="s">
        <v>537</v>
      </c>
      <c r="X9" s="16" t="s">
        <v>538</v>
      </c>
      <c r="Y9" s="16" t="s">
        <v>537</v>
      </c>
      <c r="Z9" s="16" t="s">
        <v>538</v>
      </c>
      <c r="AA9" s="16" t="s">
        <v>539</v>
      </c>
      <c r="BX9" s="630"/>
    </row>
    <row r="10" spans="1:76" ht="12.75" customHeight="1" x14ac:dyDescent="0.2">
      <c r="C10" s="643"/>
      <c r="D10" s="643"/>
      <c r="F10" s="624"/>
      <c r="G10" s="640"/>
      <c r="H10" s="624"/>
      <c r="I10" s="640"/>
      <c r="J10" s="624"/>
      <c r="K10" s="624"/>
      <c r="L10" s="640" t="s">
        <v>541</v>
      </c>
      <c r="M10" s="640" t="s">
        <v>542</v>
      </c>
      <c r="N10" s="640" t="s">
        <v>541</v>
      </c>
      <c r="O10" s="640" t="s">
        <v>543</v>
      </c>
      <c r="P10" s="640" t="s">
        <v>542</v>
      </c>
      <c r="Q10" s="641"/>
      <c r="R10" s="641"/>
      <c r="S10" s="602"/>
      <c r="T10" s="602"/>
      <c r="U10" s="22"/>
      <c r="V10" s="22"/>
      <c r="W10" s="16" t="s">
        <v>541</v>
      </c>
      <c r="X10" s="16" t="s">
        <v>542</v>
      </c>
      <c r="Y10" s="16" t="s">
        <v>541</v>
      </c>
      <c r="Z10" s="16" t="s">
        <v>543</v>
      </c>
      <c r="AA10" s="16" t="s">
        <v>542</v>
      </c>
      <c r="BX10" s="630"/>
    </row>
    <row r="11" spans="1:76" ht="12.75" x14ac:dyDescent="0.2">
      <c r="A11" s="645"/>
      <c r="B11" s="645"/>
      <c r="C11" s="645"/>
      <c r="D11" s="645"/>
      <c r="F11" s="646"/>
      <c r="G11" s="646"/>
      <c r="H11" s="646"/>
      <c r="I11" s="646"/>
      <c r="J11" s="646"/>
      <c r="K11" s="646"/>
      <c r="L11" s="624"/>
      <c r="M11" s="640" t="s">
        <v>543</v>
      </c>
      <c r="N11" s="624"/>
      <c r="O11" s="624"/>
      <c r="P11" s="640" t="s">
        <v>543</v>
      </c>
      <c r="Q11" s="624"/>
      <c r="R11" s="624"/>
      <c r="S11" s="603"/>
      <c r="T11" s="603"/>
      <c r="U11" s="23"/>
      <c r="V11" s="23"/>
      <c r="W11" s="22"/>
      <c r="X11" s="16" t="s">
        <v>543</v>
      </c>
      <c r="Y11" s="22"/>
      <c r="Z11" s="22"/>
      <c r="AA11" s="16" t="s">
        <v>543</v>
      </c>
      <c r="BX11" s="630"/>
    </row>
    <row r="12" spans="1:76" ht="12.75" x14ac:dyDescent="0.2">
      <c r="A12" s="625"/>
      <c r="B12" s="625"/>
      <c r="C12" s="626"/>
      <c r="D12" s="626"/>
      <c r="E12" s="647"/>
      <c r="F12" s="627"/>
      <c r="G12" s="627"/>
      <c r="H12" s="627"/>
      <c r="I12" s="627"/>
      <c r="J12" s="627"/>
      <c r="K12" s="627"/>
      <c r="L12" s="627"/>
      <c r="M12" s="626"/>
      <c r="N12" s="626"/>
      <c r="O12" s="627"/>
      <c r="P12" s="627"/>
      <c r="Q12" s="627"/>
      <c r="R12" s="627"/>
      <c r="S12" s="23"/>
      <c r="T12" s="23"/>
      <c r="U12" s="604"/>
      <c r="V12" s="604"/>
      <c r="W12" s="604"/>
      <c r="X12" s="604"/>
      <c r="Y12" s="604"/>
      <c r="Z12" s="604"/>
      <c r="AA12" s="604"/>
      <c r="BX12" s="630"/>
    </row>
    <row r="13" spans="1:76" ht="12.75" x14ac:dyDescent="0.2">
      <c r="B13" s="645"/>
      <c r="C13" s="643"/>
      <c r="D13" s="643"/>
      <c r="F13" s="648"/>
      <c r="G13" s="648"/>
      <c r="H13" s="648"/>
      <c r="I13" s="648"/>
      <c r="J13" s="648"/>
      <c r="K13" s="648"/>
      <c r="L13" s="648"/>
      <c r="M13" s="648"/>
      <c r="N13" s="648"/>
      <c r="O13" s="648"/>
      <c r="P13" s="648"/>
      <c r="Q13" s="648"/>
      <c r="R13" s="648"/>
      <c r="S13" s="605" t="s">
        <v>621</v>
      </c>
      <c r="T13" s="24" t="s">
        <v>551</v>
      </c>
      <c r="U13" s="27">
        <v>31.4</v>
      </c>
      <c r="V13" s="27">
        <v>60.8</v>
      </c>
      <c r="W13" s="27">
        <v>40.5</v>
      </c>
      <c r="X13" s="27">
        <v>57.1</v>
      </c>
      <c r="Y13" s="27">
        <v>69.3</v>
      </c>
      <c r="Z13" s="27">
        <v>83.4</v>
      </c>
      <c r="AA13" s="27">
        <v>88.6</v>
      </c>
      <c r="AB13" s="668"/>
      <c r="AC13" s="668"/>
      <c r="BX13" s="630"/>
    </row>
    <row r="14" spans="1:76" ht="12.75" x14ac:dyDescent="0.2">
      <c r="A14" s="637" t="s">
        <v>602</v>
      </c>
      <c r="B14" s="645"/>
      <c r="C14" s="643"/>
      <c r="D14" s="643"/>
      <c r="F14" s="649">
        <v>750</v>
      </c>
      <c r="G14" s="649">
        <v>440</v>
      </c>
      <c r="H14" s="649">
        <v>2770</v>
      </c>
      <c r="I14" s="649">
        <v>2780</v>
      </c>
      <c r="J14" s="649">
        <v>3870</v>
      </c>
      <c r="K14" s="649">
        <v>5890</v>
      </c>
      <c r="L14" s="649">
        <v>680</v>
      </c>
      <c r="M14" s="649">
        <v>610</v>
      </c>
      <c r="N14" s="649">
        <v>2230</v>
      </c>
      <c r="O14" s="649">
        <v>2650</v>
      </c>
      <c r="P14" s="649">
        <v>740</v>
      </c>
      <c r="Q14" s="649">
        <v>2460</v>
      </c>
      <c r="R14" s="649">
        <v>1290</v>
      </c>
      <c r="S14" s="605" t="s">
        <v>622</v>
      </c>
      <c r="T14" s="24" t="s">
        <v>623</v>
      </c>
      <c r="U14" s="27">
        <v>9.3000000000000007</v>
      </c>
      <c r="V14" s="27">
        <v>15.1</v>
      </c>
      <c r="W14" s="27">
        <v>4.7</v>
      </c>
      <c r="X14" s="27">
        <v>7.1</v>
      </c>
      <c r="Y14" s="27">
        <v>11.2</v>
      </c>
      <c r="Z14" s="27">
        <v>12.3</v>
      </c>
      <c r="AA14" s="27">
        <v>13.3</v>
      </c>
      <c r="AB14" s="668"/>
      <c r="AC14" s="668"/>
      <c r="BX14" s="630"/>
    </row>
    <row r="15" spans="1:76" s="53" customFormat="1" ht="12.75" x14ac:dyDescent="0.2">
      <c r="A15" s="50" t="s">
        <v>603</v>
      </c>
      <c r="B15" s="51"/>
      <c r="C15" s="52"/>
      <c r="D15" s="52"/>
      <c r="F15" s="649">
        <v>130</v>
      </c>
      <c r="G15" s="649">
        <v>100</v>
      </c>
      <c r="H15" s="649">
        <v>510</v>
      </c>
      <c r="I15" s="649">
        <v>630</v>
      </c>
      <c r="J15" s="649">
        <v>800</v>
      </c>
      <c r="K15" s="649">
        <v>1190</v>
      </c>
      <c r="L15" s="649">
        <v>140</v>
      </c>
      <c r="M15" s="649">
        <v>140</v>
      </c>
      <c r="N15" s="649">
        <v>440</v>
      </c>
      <c r="O15" s="649">
        <v>540</v>
      </c>
      <c r="P15" s="649">
        <v>160</v>
      </c>
      <c r="Q15" s="649">
        <v>410</v>
      </c>
      <c r="R15" s="649">
        <v>210</v>
      </c>
      <c r="S15" s="605" t="s">
        <v>624</v>
      </c>
      <c r="T15" s="25" t="s">
        <v>554</v>
      </c>
      <c r="U15" s="27">
        <v>9.8000000000000007</v>
      </c>
      <c r="V15" s="27">
        <v>25.1</v>
      </c>
      <c r="W15" s="27">
        <v>17.899999999999999</v>
      </c>
      <c r="X15" s="27">
        <v>24.8</v>
      </c>
      <c r="Y15" s="27">
        <v>26.2</v>
      </c>
      <c r="Z15" s="27">
        <v>43.8</v>
      </c>
      <c r="AA15" s="27">
        <v>34.4</v>
      </c>
      <c r="AB15" s="668"/>
      <c r="AC15" s="668"/>
      <c r="AD15" s="629"/>
      <c r="AE15" s="629"/>
      <c r="AF15" s="629"/>
      <c r="AG15" s="629"/>
      <c r="AH15" s="629"/>
      <c r="AI15" s="629"/>
      <c r="AJ15" s="629"/>
      <c r="AK15" s="629"/>
      <c r="AL15" s="629"/>
      <c r="AM15" s="629"/>
      <c r="AN15" s="629"/>
      <c r="AO15" s="629"/>
      <c r="AP15" s="629"/>
      <c r="AQ15" s="629"/>
      <c r="AR15" s="629"/>
      <c r="AS15" s="629"/>
      <c r="AT15" s="629"/>
      <c r="AU15" s="629"/>
      <c r="AV15" s="629"/>
      <c r="AW15" s="629"/>
      <c r="AX15" s="629"/>
      <c r="AY15" s="629"/>
      <c r="AZ15" s="629"/>
      <c r="BA15" s="629"/>
      <c r="BB15" s="629"/>
      <c r="BC15" s="629"/>
      <c r="BD15" s="629"/>
      <c r="BE15" s="629"/>
      <c r="BF15" s="629"/>
      <c r="BG15" s="629"/>
      <c r="BH15" s="629"/>
      <c r="BI15" s="629"/>
      <c r="BJ15" s="629"/>
      <c r="BK15" s="629"/>
      <c r="BL15" s="629"/>
      <c r="BM15" s="629"/>
      <c r="BN15" s="629"/>
      <c r="BO15" s="629"/>
      <c r="BP15" s="629"/>
      <c r="BQ15" s="629"/>
      <c r="BR15" s="629"/>
      <c r="BS15" s="629"/>
      <c r="BT15" s="629"/>
      <c r="BU15" s="629"/>
      <c r="BV15" s="629"/>
      <c r="BW15" s="629"/>
    </row>
    <row r="16" spans="1:76" s="53" customFormat="1" ht="13.5" x14ac:dyDescent="0.2">
      <c r="A16" s="50" t="s">
        <v>604</v>
      </c>
      <c r="B16" s="51"/>
      <c r="C16" s="52"/>
      <c r="D16" s="52"/>
      <c r="F16" s="649">
        <v>130</v>
      </c>
      <c r="G16" s="649">
        <v>210</v>
      </c>
      <c r="H16" s="649">
        <v>510</v>
      </c>
      <c r="I16" s="649">
        <v>1260</v>
      </c>
      <c r="J16" s="649">
        <v>800</v>
      </c>
      <c r="K16" s="649">
        <v>2380</v>
      </c>
      <c r="L16" s="649">
        <v>280</v>
      </c>
      <c r="M16" s="649">
        <v>480</v>
      </c>
      <c r="N16" s="649">
        <v>1310</v>
      </c>
      <c r="O16" s="649">
        <v>2150</v>
      </c>
      <c r="P16" s="649">
        <v>840</v>
      </c>
      <c r="Q16" s="649">
        <v>1380</v>
      </c>
      <c r="R16" s="649">
        <v>1030</v>
      </c>
      <c r="S16" s="605" t="s">
        <v>625</v>
      </c>
      <c r="T16" s="24" t="s">
        <v>644</v>
      </c>
      <c r="U16" s="27">
        <v>70.3</v>
      </c>
      <c r="V16" s="27">
        <v>84.1</v>
      </c>
      <c r="W16" s="27">
        <v>85.2</v>
      </c>
      <c r="X16" s="27">
        <v>63.3</v>
      </c>
      <c r="Y16" s="27">
        <v>86</v>
      </c>
      <c r="Z16" s="27">
        <v>89.1</v>
      </c>
      <c r="AA16" s="27">
        <v>100.6</v>
      </c>
      <c r="AB16" s="668"/>
      <c r="AC16" s="668"/>
      <c r="AD16" s="629"/>
      <c r="AE16" s="629"/>
      <c r="AF16" s="629"/>
      <c r="AG16" s="629"/>
      <c r="AH16" s="629"/>
      <c r="AI16" s="629"/>
      <c r="AJ16" s="629"/>
      <c r="AK16" s="629"/>
      <c r="AL16" s="629"/>
      <c r="AM16" s="629"/>
      <c r="AN16" s="629"/>
      <c r="AO16" s="629"/>
      <c r="AP16" s="629"/>
      <c r="AQ16" s="629"/>
      <c r="AR16" s="629"/>
      <c r="AS16" s="629"/>
      <c r="AT16" s="629"/>
      <c r="AU16" s="629"/>
      <c r="AV16" s="629"/>
      <c r="AW16" s="629"/>
      <c r="AX16" s="629"/>
      <c r="AY16" s="629"/>
      <c r="AZ16" s="629"/>
      <c r="BA16" s="629"/>
      <c r="BB16" s="629"/>
      <c r="BC16" s="629"/>
      <c r="BD16" s="629"/>
      <c r="BE16" s="629"/>
      <c r="BF16" s="629"/>
      <c r="BG16" s="629"/>
      <c r="BH16" s="629"/>
      <c r="BI16" s="629"/>
      <c r="BJ16" s="629"/>
      <c r="BK16" s="629"/>
      <c r="BL16" s="629"/>
      <c r="BM16" s="629"/>
      <c r="BN16" s="629"/>
      <c r="BO16" s="629"/>
      <c r="BP16" s="629"/>
      <c r="BQ16" s="629"/>
      <c r="BR16" s="629"/>
      <c r="BS16" s="629"/>
      <c r="BT16" s="629"/>
      <c r="BU16" s="629"/>
      <c r="BV16" s="629"/>
      <c r="BW16" s="629"/>
    </row>
    <row r="17" spans="1:76" s="53" customFormat="1" ht="12.75" x14ac:dyDescent="0.2">
      <c r="A17" s="50" t="s">
        <v>605</v>
      </c>
      <c r="B17" s="51"/>
      <c r="C17" s="52"/>
      <c r="D17" s="52"/>
      <c r="F17" s="649">
        <v>130</v>
      </c>
      <c r="G17" s="649">
        <v>210</v>
      </c>
      <c r="H17" s="649">
        <v>510</v>
      </c>
      <c r="I17" s="649">
        <v>1260</v>
      </c>
      <c r="J17" s="649">
        <v>800</v>
      </c>
      <c r="K17" s="649">
        <v>2380</v>
      </c>
      <c r="L17" s="649">
        <v>140</v>
      </c>
      <c r="M17" s="649">
        <v>140</v>
      </c>
      <c r="N17" s="649">
        <v>880</v>
      </c>
      <c r="O17" s="649">
        <v>1080</v>
      </c>
      <c r="P17" s="649">
        <v>320</v>
      </c>
      <c r="Q17" s="649">
        <v>1380</v>
      </c>
      <c r="R17" s="649">
        <v>710</v>
      </c>
      <c r="S17" s="605" t="s">
        <v>627</v>
      </c>
      <c r="T17" s="24" t="s">
        <v>628</v>
      </c>
      <c r="U17" s="27">
        <v>26.9</v>
      </c>
      <c r="V17" s="27">
        <v>49.5</v>
      </c>
      <c r="W17" s="27">
        <v>35.6</v>
      </c>
      <c r="X17" s="27">
        <v>23.5</v>
      </c>
      <c r="Y17" s="27">
        <v>53.3</v>
      </c>
      <c r="Z17" s="27">
        <v>46.7</v>
      </c>
      <c r="AA17" s="27">
        <v>51.2</v>
      </c>
      <c r="AB17" s="668"/>
      <c r="AC17" s="668"/>
      <c r="AD17" s="629"/>
      <c r="AE17" s="629"/>
      <c r="AF17" s="629"/>
      <c r="AG17" s="629"/>
      <c r="AH17" s="629"/>
      <c r="AI17" s="629"/>
      <c r="AJ17" s="629"/>
      <c r="AK17" s="629"/>
      <c r="AL17" s="629"/>
      <c r="AM17" s="629"/>
      <c r="AN17" s="629"/>
      <c r="AO17" s="629"/>
      <c r="AP17" s="629"/>
      <c r="AQ17" s="629"/>
      <c r="AR17" s="629"/>
      <c r="AS17" s="629"/>
      <c r="AT17" s="629"/>
      <c r="AU17" s="629"/>
      <c r="AV17" s="629"/>
      <c r="AW17" s="629"/>
      <c r="AX17" s="629"/>
      <c r="AY17" s="629"/>
      <c r="AZ17" s="629"/>
      <c r="BA17" s="629"/>
      <c r="BB17" s="629"/>
      <c r="BC17" s="629"/>
      <c r="BD17" s="629"/>
      <c r="BE17" s="629"/>
      <c r="BF17" s="629"/>
      <c r="BG17" s="629"/>
      <c r="BH17" s="629"/>
      <c r="BI17" s="629"/>
      <c r="BJ17" s="629"/>
      <c r="BK17" s="629"/>
      <c r="BL17" s="629"/>
      <c r="BM17" s="629"/>
      <c r="BN17" s="629"/>
      <c r="BO17" s="629"/>
      <c r="BP17" s="629"/>
      <c r="BQ17" s="629"/>
      <c r="BR17" s="629"/>
      <c r="BS17" s="629"/>
      <c r="BT17" s="629"/>
      <c r="BU17" s="629"/>
      <c r="BV17" s="629"/>
      <c r="BW17" s="629"/>
    </row>
    <row r="18" spans="1:76" ht="12.75" x14ac:dyDescent="0.2">
      <c r="B18" s="645"/>
      <c r="C18" s="643"/>
      <c r="D18" s="643"/>
      <c r="F18" s="650"/>
      <c r="G18" s="650"/>
      <c r="H18" s="650"/>
      <c r="I18" s="650"/>
      <c r="J18" s="651"/>
      <c r="K18" s="651"/>
      <c r="L18" s="650"/>
      <c r="M18" s="650"/>
      <c r="N18" s="651"/>
      <c r="O18" s="650"/>
      <c r="P18" s="650"/>
      <c r="Q18" s="650"/>
      <c r="R18" s="650"/>
      <c r="S18" s="605" t="s">
        <v>629</v>
      </c>
      <c r="T18" s="24" t="s">
        <v>515</v>
      </c>
      <c r="U18" s="27">
        <v>5.5</v>
      </c>
      <c r="V18" s="27">
        <v>7.1</v>
      </c>
      <c r="W18" s="27">
        <v>1.3</v>
      </c>
      <c r="X18" s="27">
        <v>4.2</v>
      </c>
      <c r="Y18" s="27">
        <v>5.4</v>
      </c>
      <c r="Z18" s="27">
        <v>5.9</v>
      </c>
      <c r="AA18" s="27">
        <v>6.6</v>
      </c>
      <c r="AB18" s="668"/>
      <c r="AC18" s="668"/>
      <c r="BX18" s="630"/>
    </row>
    <row r="19" spans="1:76" s="655" customFormat="1" ht="12.75" x14ac:dyDescent="0.2">
      <c r="A19" s="652" t="s">
        <v>606</v>
      </c>
      <c r="B19" s="653"/>
      <c r="C19" s="654"/>
      <c r="D19" s="654"/>
      <c r="F19" s="651">
        <v>1</v>
      </c>
      <c r="G19" s="651">
        <v>2</v>
      </c>
      <c r="H19" s="651">
        <v>1</v>
      </c>
      <c r="I19" s="651">
        <v>2</v>
      </c>
      <c r="J19" s="651">
        <v>1</v>
      </c>
      <c r="K19" s="651">
        <v>2</v>
      </c>
      <c r="L19" s="651">
        <v>2</v>
      </c>
      <c r="M19" s="651">
        <v>3.4</v>
      </c>
      <c r="N19" s="651">
        <v>3</v>
      </c>
      <c r="O19" s="651">
        <v>4</v>
      </c>
      <c r="P19" s="651">
        <v>5.3</v>
      </c>
      <c r="Q19" s="651">
        <v>3.4</v>
      </c>
      <c r="R19" s="651">
        <v>5</v>
      </c>
      <c r="S19" s="605" t="s">
        <v>630</v>
      </c>
      <c r="T19" s="24" t="s">
        <v>516</v>
      </c>
      <c r="U19" s="27">
        <v>45.3</v>
      </c>
      <c r="V19" s="27">
        <v>97.7</v>
      </c>
      <c r="W19" s="27">
        <v>44.7</v>
      </c>
      <c r="X19" s="27">
        <v>40.4</v>
      </c>
      <c r="Y19" s="27">
        <v>93.8</v>
      </c>
      <c r="Z19" s="27">
        <v>118.4</v>
      </c>
      <c r="AA19" s="27">
        <v>93.6</v>
      </c>
      <c r="AB19" s="668"/>
      <c r="AC19" s="668"/>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629"/>
      <c r="BT19" s="629"/>
      <c r="BU19" s="629"/>
      <c r="BV19" s="629"/>
      <c r="BW19" s="629"/>
    </row>
    <row r="20" spans="1:76" ht="12" x14ac:dyDescent="0.2">
      <c r="A20" s="625"/>
      <c r="B20" s="625"/>
      <c r="C20" s="626"/>
      <c r="D20" s="626"/>
      <c r="E20" s="647"/>
      <c r="F20" s="656"/>
      <c r="G20" s="656"/>
      <c r="H20" s="656"/>
      <c r="I20" s="656"/>
      <c r="J20" s="656"/>
      <c r="K20" s="656"/>
      <c r="L20" s="656"/>
      <c r="M20" s="656"/>
      <c r="N20" s="656"/>
      <c r="O20" s="656"/>
      <c r="P20" s="656"/>
      <c r="Q20" s="656"/>
      <c r="R20" s="656"/>
      <c r="S20" s="605" t="s">
        <v>631</v>
      </c>
      <c r="T20" s="24" t="s">
        <v>517</v>
      </c>
      <c r="U20" s="27">
        <v>11.6</v>
      </c>
      <c r="V20" s="27">
        <v>19.600000000000001</v>
      </c>
      <c r="W20" s="27">
        <v>14.8</v>
      </c>
      <c r="X20" s="27">
        <v>15.5</v>
      </c>
      <c r="Y20" s="27">
        <v>21.3</v>
      </c>
      <c r="Z20" s="27">
        <v>22.6</v>
      </c>
      <c r="AA20" s="27">
        <v>23.8</v>
      </c>
      <c r="AB20" s="668"/>
      <c r="AC20" s="668"/>
      <c r="BX20" s="630"/>
    </row>
    <row r="21" spans="1:76" ht="12.75" x14ac:dyDescent="0.2">
      <c r="B21" s="645"/>
      <c r="C21" s="643"/>
      <c r="D21" s="643"/>
      <c r="F21" s="657"/>
      <c r="G21" s="657"/>
      <c r="H21" s="657"/>
      <c r="I21" s="657"/>
      <c r="J21" s="657"/>
      <c r="K21" s="657"/>
      <c r="L21" s="657"/>
      <c r="M21" s="657"/>
      <c r="N21" s="657"/>
      <c r="O21" s="657"/>
      <c r="P21" s="657"/>
      <c r="Q21" s="657"/>
      <c r="R21" s="657"/>
      <c r="S21" s="605" t="s">
        <v>632</v>
      </c>
      <c r="T21" s="24" t="s">
        <v>569</v>
      </c>
      <c r="U21" s="27">
        <v>41.5</v>
      </c>
      <c r="V21" s="27">
        <v>86.8</v>
      </c>
      <c r="W21" s="27">
        <v>38.4</v>
      </c>
      <c r="X21" s="27">
        <v>48.6</v>
      </c>
      <c r="Y21" s="27">
        <v>67.8</v>
      </c>
      <c r="Z21" s="27">
        <v>104.7</v>
      </c>
      <c r="AA21" s="27">
        <v>91.6</v>
      </c>
      <c r="AB21" s="668"/>
      <c r="AC21" s="668"/>
      <c r="BX21" s="630"/>
    </row>
    <row r="22" spans="1:76" s="659" customFormat="1" ht="12" x14ac:dyDescent="0.2">
      <c r="A22" s="658" t="s">
        <v>607</v>
      </c>
      <c r="C22" s="660"/>
      <c r="D22" s="660"/>
      <c r="F22" s="661"/>
      <c r="G22" s="1775" t="s">
        <v>608</v>
      </c>
      <c r="H22" s="1775"/>
      <c r="I22" s="1775"/>
      <c r="J22" s="1775"/>
      <c r="K22" s="1775"/>
      <c r="L22" s="1775"/>
      <c r="M22" s="1775"/>
      <c r="N22" s="1775"/>
      <c r="O22" s="1775"/>
      <c r="P22" s="1775"/>
      <c r="Q22" s="1775"/>
      <c r="R22" s="662"/>
      <c r="S22" s="605" t="s">
        <v>633</v>
      </c>
      <c r="T22" s="24" t="s">
        <v>519</v>
      </c>
      <c r="U22" s="734">
        <v>6.1</v>
      </c>
      <c r="V22" s="27">
        <v>5.5</v>
      </c>
      <c r="W22" s="734">
        <v>8.8000000000000007</v>
      </c>
      <c r="X22" s="734">
        <v>8.1999999999999993</v>
      </c>
      <c r="Y22" s="27">
        <v>14.2</v>
      </c>
      <c r="Z22" s="27">
        <v>15.9</v>
      </c>
      <c r="AA22" s="27">
        <v>23.6</v>
      </c>
      <c r="AB22" s="668"/>
      <c r="AC22" s="668"/>
      <c r="AD22" s="663"/>
      <c r="AE22" s="663"/>
      <c r="AF22" s="663"/>
      <c r="AG22" s="663"/>
      <c r="AH22" s="663"/>
      <c r="AI22" s="663"/>
      <c r="AJ22" s="663"/>
      <c r="AK22" s="663"/>
      <c r="AL22" s="663"/>
      <c r="AM22" s="663"/>
      <c r="AN22" s="663"/>
      <c r="AO22" s="663"/>
      <c r="AP22" s="663"/>
      <c r="AQ22" s="663"/>
      <c r="AR22" s="663"/>
      <c r="AS22" s="663"/>
      <c r="AT22" s="663"/>
      <c r="AU22" s="663"/>
      <c r="AV22" s="663"/>
      <c r="AW22" s="663"/>
      <c r="AX22" s="663"/>
      <c r="AY22" s="663"/>
      <c r="AZ22" s="663"/>
      <c r="BA22" s="663"/>
      <c r="BB22" s="663"/>
      <c r="BC22" s="663"/>
      <c r="BD22" s="663"/>
      <c r="BE22" s="663"/>
      <c r="BF22" s="663"/>
      <c r="BG22" s="663"/>
      <c r="BH22" s="663"/>
      <c r="BI22" s="663"/>
      <c r="BJ22" s="663"/>
      <c r="BK22" s="663"/>
      <c r="BL22" s="663"/>
      <c r="BM22" s="663"/>
      <c r="BN22" s="663"/>
      <c r="BO22" s="663"/>
      <c r="BP22" s="663"/>
      <c r="BQ22" s="663"/>
      <c r="BR22" s="663"/>
      <c r="BS22" s="663"/>
      <c r="BT22" s="663"/>
      <c r="BU22" s="663"/>
      <c r="BV22" s="663"/>
      <c r="BW22" s="663"/>
    </row>
    <row r="23" spans="1:76" ht="12" x14ac:dyDescent="0.2">
      <c r="A23" s="625"/>
      <c r="B23" s="626"/>
      <c r="C23" s="626"/>
      <c r="D23" s="626"/>
      <c r="E23" s="626"/>
      <c r="F23" s="656"/>
      <c r="G23" s="656"/>
      <c r="H23" s="656"/>
      <c r="I23" s="656"/>
      <c r="J23" s="656"/>
      <c r="K23" s="656"/>
      <c r="L23" s="656"/>
      <c r="M23" s="656"/>
      <c r="N23" s="656"/>
      <c r="O23" s="656"/>
      <c r="P23" s="656"/>
      <c r="Q23" s="656"/>
      <c r="R23" s="656"/>
      <c r="S23" s="605" t="s">
        <v>634</v>
      </c>
      <c r="T23" s="24" t="s">
        <v>574</v>
      </c>
      <c r="U23" s="27">
        <v>27.7</v>
      </c>
      <c r="V23" s="27">
        <v>63.6</v>
      </c>
      <c r="W23" s="27">
        <v>25.6</v>
      </c>
      <c r="X23" s="27">
        <v>27.7</v>
      </c>
      <c r="Y23" s="27">
        <v>52.4</v>
      </c>
      <c r="Z23" s="27">
        <v>65.7</v>
      </c>
      <c r="AA23" s="27">
        <v>62.7</v>
      </c>
      <c r="AB23" s="668"/>
      <c r="AC23" s="668"/>
      <c r="BX23" s="630"/>
    </row>
    <row r="24" spans="1:76" s="646" customFormat="1" ht="12.75" x14ac:dyDescent="0.2">
      <c r="F24" s="664"/>
      <c r="G24" s="664"/>
      <c r="H24" s="664"/>
      <c r="I24" s="664"/>
      <c r="J24" s="664"/>
      <c r="K24" s="664"/>
      <c r="L24" s="664"/>
      <c r="M24" s="664"/>
      <c r="N24" s="664"/>
      <c r="O24" s="664"/>
      <c r="P24" s="664"/>
      <c r="Q24" s="664"/>
      <c r="R24" s="664"/>
      <c r="S24" s="605" t="s">
        <v>635</v>
      </c>
      <c r="T24" s="24" t="s">
        <v>577</v>
      </c>
      <c r="U24" s="27">
        <v>21.1</v>
      </c>
      <c r="V24" s="27">
        <v>46.5</v>
      </c>
      <c r="W24" s="27">
        <v>29.6</v>
      </c>
      <c r="X24" s="27">
        <v>26</v>
      </c>
      <c r="Y24" s="27">
        <v>55.6</v>
      </c>
      <c r="Z24" s="27">
        <v>63.9</v>
      </c>
      <c r="AA24" s="27">
        <v>48.5</v>
      </c>
      <c r="AB24" s="668"/>
      <c r="AC24" s="668"/>
      <c r="AD24" s="629"/>
      <c r="AE24" s="629"/>
      <c r="AF24" s="629"/>
      <c r="AG24" s="629"/>
      <c r="AH24" s="629"/>
      <c r="AI24" s="629"/>
      <c r="AJ24" s="629"/>
      <c r="AK24" s="629"/>
      <c r="AL24" s="629"/>
      <c r="AM24" s="629"/>
      <c r="AN24" s="629"/>
      <c r="AO24" s="629"/>
      <c r="AP24" s="629"/>
      <c r="AQ24" s="629"/>
      <c r="AR24" s="629"/>
      <c r="AS24" s="629"/>
      <c r="AT24" s="629"/>
      <c r="AU24" s="629"/>
      <c r="AV24" s="629"/>
      <c r="AW24" s="629"/>
      <c r="AX24" s="629"/>
      <c r="AY24" s="629"/>
      <c r="AZ24" s="629"/>
      <c r="BA24" s="629"/>
      <c r="BB24" s="629"/>
      <c r="BC24" s="629"/>
      <c r="BD24" s="629"/>
      <c r="BE24" s="629"/>
      <c r="BF24" s="629"/>
      <c r="BG24" s="629"/>
      <c r="BH24" s="629"/>
      <c r="BI24" s="629"/>
      <c r="BJ24" s="629"/>
      <c r="BK24" s="629"/>
      <c r="BL24" s="629"/>
      <c r="BM24" s="629"/>
      <c r="BN24" s="629"/>
      <c r="BO24" s="629"/>
      <c r="BP24" s="629"/>
      <c r="BQ24" s="629"/>
      <c r="BR24" s="629"/>
      <c r="BS24" s="629"/>
      <c r="BT24" s="629"/>
      <c r="BU24" s="629"/>
      <c r="BV24" s="629"/>
      <c r="BW24" s="629"/>
    </row>
    <row r="25" spans="1:76" s="667" customFormat="1" ht="12" x14ac:dyDescent="0.2">
      <c r="A25" s="665" t="s">
        <v>621</v>
      </c>
      <c r="B25" s="2" t="s">
        <v>551</v>
      </c>
      <c r="C25" s="666"/>
      <c r="D25" s="666"/>
      <c r="F25" s="668">
        <v>27.9</v>
      </c>
      <c r="G25" s="668">
        <v>58.1</v>
      </c>
      <c r="H25" s="668">
        <v>33.700000000000003</v>
      </c>
      <c r="I25" s="668">
        <v>64.5</v>
      </c>
      <c r="J25" s="27">
        <v>31.4</v>
      </c>
      <c r="K25" s="27">
        <v>60.8</v>
      </c>
      <c r="L25" s="27">
        <v>40.5</v>
      </c>
      <c r="M25" s="27">
        <v>57.1</v>
      </c>
      <c r="N25" s="27">
        <v>69.3</v>
      </c>
      <c r="O25" s="27">
        <v>83.4</v>
      </c>
      <c r="P25" s="27">
        <v>88.6</v>
      </c>
      <c r="Q25" s="668">
        <v>83.3</v>
      </c>
      <c r="R25" s="668">
        <v>108.8</v>
      </c>
      <c r="S25" s="28"/>
      <c r="T25" s="26"/>
      <c r="U25" s="735"/>
      <c r="V25" s="735"/>
      <c r="W25" s="735"/>
      <c r="X25" s="735"/>
      <c r="Y25" s="735"/>
      <c r="Z25" s="735"/>
      <c r="AA25" s="735"/>
      <c r="AB25" s="673"/>
      <c r="AC25" s="673"/>
      <c r="AD25" s="669"/>
      <c r="AE25" s="669"/>
      <c r="AF25" s="669"/>
      <c r="AG25" s="669"/>
      <c r="AH25" s="669"/>
      <c r="AI25" s="669"/>
      <c r="AJ25" s="669"/>
      <c r="AK25" s="669"/>
      <c r="AL25" s="669"/>
      <c r="AM25" s="669"/>
      <c r="AN25" s="669"/>
      <c r="AO25" s="669"/>
      <c r="AP25" s="669"/>
      <c r="AQ25" s="669"/>
      <c r="AR25" s="669"/>
      <c r="AS25" s="669"/>
      <c r="AT25" s="669"/>
      <c r="AU25" s="669"/>
      <c r="AV25" s="669"/>
      <c r="AW25" s="669"/>
      <c r="AX25" s="669"/>
      <c r="AY25" s="669"/>
      <c r="AZ25" s="669"/>
      <c r="BA25" s="669"/>
      <c r="BB25" s="669"/>
      <c r="BC25" s="669"/>
      <c r="BD25" s="669"/>
      <c r="BE25" s="669"/>
      <c r="BF25" s="669"/>
      <c r="BG25" s="669"/>
      <c r="BH25" s="669"/>
      <c r="BI25" s="669"/>
      <c r="BJ25" s="669"/>
      <c r="BK25" s="669"/>
      <c r="BL25" s="669"/>
      <c r="BM25" s="669"/>
      <c r="BN25" s="669"/>
      <c r="BO25" s="669"/>
      <c r="BP25" s="669"/>
      <c r="BQ25" s="669"/>
      <c r="BR25" s="669"/>
      <c r="BS25" s="669"/>
      <c r="BT25" s="669"/>
      <c r="BU25" s="669"/>
      <c r="BV25" s="669"/>
      <c r="BW25" s="669"/>
    </row>
    <row r="26" spans="1:76" s="672" customFormat="1" ht="12" x14ac:dyDescent="0.2">
      <c r="A26" s="665" t="s">
        <v>622</v>
      </c>
      <c r="B26" s="2" t="s">
        <v>623</v>
      </c>
      <c r="C26" s="666"/>
      <c r="D26" s="666"/>
      <c r="E26" s="667"/>
      <c r="F26" s="668">
        <v>6.7</v>
      </c>
      <c r="G26" s="668">
        <v>10.6</v>
      </c>
      <c r="H26" s="668">
        <v>6</v>
      </c>
      <c r="I26" s="668">
        <v>14</v>
      </c>
      <c r="J26" s="27">
        <v>9.3000000000000007</v>
      </c>
      <c r="K26" s="27">
        <v>15.1</v>
      </c>
      <c r="L26" s="27">
        <v>4.7</v>
      </c>
      <c r="M26" s="27">
        <v>7.1</v>
      </c>
      <c r="N26" s="27">
        <v>11.2</v>
      </c>
      <c r="O26" s="27">
        <v>12.3</v>
      </c>
      <c r="P26" s="27">
        <v>13.3</v>
      </c>
      <c r="Q26" s="668">
        <v>21.2</v>
      </c>
      <c r="R26" s="668">
        <v>15.9</v>
      </c>
      <c r="S26" s="605" t="s">
        <v>584</v>
      </c>
      <c r="T26" s="24" t="s">
        <v>585</v>
      </c>
      <c r="U26" s="27">
        <v>306.39999999999998</v>
      </c>
      <c r="V26" s="27">
        <v>561.29999999999995</v>
      </c>
      <c r="W26" s="27">
        <v>347.1</v>
      </c>
      <c r="X26" s="27">
        <v>346.5</v>
      </c>
      <c r="Y26" s="27">
        <v>556.4</v>
      </c>
      <c r="Z26" s="27">
        <v>672.5</v>
      </c>
      <c r="AA26" s="27">
        <v>638.6</v>
      </c>
      <c r="AB26" s="668"/>
      <c r="AC26" s="668"/>
      <c r="AD26" s="674"/>
      <c r="AE26" s="674"/>
      <c r="AF26" s="674"/>
      <c r="AG26" s="674"/>
      <c r="AH26" s="674"/>
      <c r="AI26" s="674"/>
      <c r="AJ26" s="674"/>
      <c r="AK26" s="674"/>
      <c r="AL26" s="674"/>
      <c r="AM26" s="674"/>
      <c r="AN26" s="674"/>
      <c r="AO26" s="674"/>
      <c r="AP26" s="674"/>
      <c r="AQ26" s="674"/>
      <c r="AR26" s="674"/>
      <c r="AS26" s="674"/>
      <c r="AT26" s="674"/>
      <c r="AU26" s="674"/>
      <c r="AV26" s="674"/>
      <c r="AW26" s="674"/>
      <c r="AX26" s="674"/>
      <c r="AY26" s="674"/>
      <c r="AZ26" s="674"/>
      <c r="BA26" s="674"/>
      <c r="BB26" s="674"/>
      <c r="BC26" s="674"/>
      <c r="BD26" s="674"/>
      <c r="BE26" s="674"/>
      <c r="BF26" s="674"/>
      <c r="BG26" s="674"/>
      <c r="BH26" s="674"/>
      <c r="BI26" s="674"/>
      <c r="BJ26" s="674"/>
      <c r="BK26" s="674"/>
      <c r="BL26" s="674"/>
      <c r="BM26" s="674"/>
      <c r="BN26" s="674"/>
      <c r="BO26" s="674"/>
      <c r="BP26" s="674"/>
      <c r="BQ26" s="674"/>
      <c r="BR26" s="674"/>
      <c r="BS26" s="674"/>
      <c r="BT26" s="674"/>
      <c r="BU26" s="674"/>
      <c r="BV26" s="674"/>
      <c r="BW26" s="674"/>
    </row>
    <row r="27" spans="1:76" s="667" customFormat="1" ht="12" x14ac:dyDescent="0.2">
      <c r="A27" s="665" t="s">
        <v>624</v>
      </c>
      <c r="B27" s="667" t="s">
        <v>554</v>
      </c>
      <c r="C27" s="666"/>
      <c r="D27" s="666"/>
      <c r="F27" s="668">
        <v>5.8</v>
      </c>
      <c r="G27" s="668">
        <v>10.1</v>
      </c>
      <c r="H27" s="668">
        <v>7.3</v>
      </c>
      <c r="I27" s="668">
        <v>18.899999999999999</v>
      </c>
      <c r="J27" s="27">
        <v>9.8000000000000007</v>
      </c>
      <c r="K27" s="27">
        <v>25.1</v>
      </c>
      <c r="L27" s="27">
        <v>17.899999999999999</v>
      </c>
      <c r="M27" s="27">
        <v>24.8</v>
      </c>
      <c r="N27" s="27">
        <v>26.2</v>
      </c>
      <c r="O27" s="27">
        <v>43.8</v>
      </c>
      <c r="P27" s="27">
        <v>34.4</v>
      </c>
      <c r="Q27" s="668">
        <v>38.700000000000003</v>
      </c>
      <c r="R27" s="668">
        <v>55.5</v>
      </c>
      <c r="S27" s="28"/>
      <c r="T27" s="28"/>
      <c r="U27" s="735"/>
      <c r="V27" s="735"/>
      <c r="W27" s="735"/>
      <c r="X27" s="735"/>
      <c r="Y27" s="735"/>
      <c r="Z27" s="735"/>
      <c r="AA27" s="735"/>
      <c r="AB27" s="673"/>
      <c r="AC27" s="673"/>
      <c r="AD27" s="669"/>
      <c r="AE27" s="669"/>
      <c r="AF27" s="669"/>
      <c r="AG27" s="669"/>
      <c r="AH27" s="669"/>
      <c r="AI27" s="669"/>
      <c r="AJ27" s="669"/>
      <c r="AK27" s="669"/>
      <c r="AL27" s="669"/>
      <c r="AM27" s="669"/>
      <c r="AN27" s="669"/>
      <c r="AO27" s="669"/>
      <c r="AP27" s="669"/>
      <c r="AQ27" s="669"/>
      <c r="AR27" s="669"/>
      <c r="AS27" s="669"/>
      <c r="AT27" s="669"/>
      <c r="AU27" s="669"/>
      <c r="AV27" s="669"/>
      <c r="AW27" s="669"/>
      <c r="AX27" s="669"/>
      <c r="AY27" s="669"/>
      <c r="AZ27" s="669"/>
      <c r="BA27" s="669"/>
      <c r="BB27" s="669"/>
      <c r="BC27" s="669"/>
      <c r="BD27" s="669"/>
      <c r="BE27" s="669"/>
      <c r="BF27" s="669"/>
      <c r="BG27" s="669"/>
      <c r="BH27" s="669"/>
      <c r="BI27" s="669"/>
      <c r="BJ27" s="669"/>
      <c r="BK27" s="669"/>
      <c r="BL27" s="669"/>
      <c r="BM27" s="669"/>
      <c r="BN27" s="669"/>
      <c r="BO27" s="669"/>
      <c r="BP27" s="669"/>
      <c r="BQ27" s="669"/>
      <c r="BR27" s="669"/>
      <c r="BS27" s="669"/>
      <c r="BT27" s="669"/>
      <c r="BU27" s="669"/>
      <c r="BV27" s="669"/>
      <c r="BW27" s="669"/>
    </row>
    <row r="28" spans="1:76" s="672" customFormat="1" ht="13.5" x14ac:dyDescent="0.2">
      <c r="A28" s="665" t="s">
        <v>625</v>
      </c>
      <c r="B28" s="2" t="s">
        <v>644</v>
      </c>
      <c r="C28" s="666"/>
      <c r="D28" s="666"/>
      <c r="E28" s="667"/>
      <c r="F28" s="668">
        <v>43.8</v>
      </c>
      <c r="G28" s="668">
        <v>45.8</v>
      </c>
      <c r="H28" s="668">
        <v>41.5</v>
      </c>
      <c r="I28" s="668">
        <v>53.1</v>
      </c>
      <c r="J28" s="27">
        <v>70.3</v>
      </c>
      <c r="K28" s="27">
        <v>84.1</v>
      </c>
      <c r="L28" s="27">
        <v>85.2</v>
      </c>
      <c r="M28" s="27">
        <v>63.3</v>
      </c>
      <c r="N28" s="27">
        <v>86</v>
      </c>
      <c r="O28" s="27">
        <v>89.1</v>
      </c>
      <c r="P28" s="27">
        <v>100.6</v>
      </c>
      <c r="Q28" s="668">
        <v>105.1</v>
      </c>
      <c r="R28" s="668">
        <v>98.8</v>
      </c>
      <c r="S28" s="605" t="s">
        <v>636</v>
      </c>
      <c r="T28" s="24" t="s">
        <v>580</v>
      </c>
      <c r="U28" s="27">
        <v>47.1</v>
      </c>
      <c r="V28" s="27">
        <v>99.8</v>
      </c>
      <c r="W28" s="27">
        <v>42.6</v>
      </c>
      <c r="X28" s="27">
        <v>40.6</v>
      </c>
      <c r="Y28" s="27">
        <v>97.8</v>
      </c>
      <c r="Z28" s="27">
        <v>110.6</v>
      </c>
      <c r="AA28" s="27">
        <v>103.3</v>
      </c>
      <c r="AB28" s="668"/>
      <c r="AC28" s="668"/>
      <c r="AD28" s="674"/>
      <c r="AE28" s="674"/>
      <c r="AF28" s="674"/>
      <c r="AG28" s="674"/>
      <c r="AH28" s="674"/>
      <c r="AI28" s="674"/>
      <c r="AJ28" s="674"/>
      <c r="AK28" s="674"/>
      <c r="AL28" s="674"/>
      <c r="AM28" s="674"/>
      <c r="AN28" s="674"/>
      <c r="AO28" s="674"/>
      <c r="AP28" s="674"/>
      <c r="AQ28" s="674"/>
      <c r="AR28" s="674"/>
      <c r="AS28" s="674"/>
      <c r="AT28" s="674"/>
      <c r="AU28" s="674"/>
      <c r="AV28" s="674"/>
      <c r="AW28" s="674"/>
      <c r="AX28" s="674"/>
      <c r="AY28" s="674"/>
      <c r="AZ28" s="674"/>
      <c r="BA28" s="674"/>
      <c r="BB28" s="674"/>
      <c r="BC28" s="674"/>
      <c r="BD28" s="674"/>
      <c r="BE28" s="674"/>
      <c r="BF28" s="674"/>
      <c r="BG28" s="674"/>
      <c r="BH28" s="674"/>
      <c r="BI28" s="674"/>
      <c r="BJ28" s="674"/>
      <c r="BK28" s="674"/>
      <c r="BL28" s="674"/>
      <c r="BM28" s="674"/>
      <c r="BN28" s="674"/>
      <c r="BO28" s="674"/>
      <c r="BP28" s="674"/>
      <c r="BQ28" s="674"/>
      <c r="BR28" s="674"/>
      <c r="BS28" s="674"/>
      <c r="BT28" s="674"/>
      <c r="BU28" s="674"/>
      <c r="BV28" s="674"/>
      <c r="BW28" s="674"/>
    </row>
    <row r="29" spans="1:76" s="667" customFormat="1" ht="12.75" x14ac:dyDescent="0.2">
      <c r="A29" s="665" t="s">
        <v>627</v>
      </c>
      <c r="B29" s="2" t="s">
        <v>628</v>
      </c>
      <c r="C29" s="666"/>
      <c r="D29" s="666"/>
      <c r="F29" s="668">
        <v>11</v>
      </c>
      <c r="G29" s="668">
        <v>33.6</v>
      </c>
      <c r="H29" s="668">
        <v>22.5</v>
      </c>
      <c r="I29" s="668">
        <v>39</v>
      </c>
      <c r="J29" s="27">
        <v>26.9</v>
      </c>
      <c r="K29" s="27">
        <v>49.5</v>
      </c>
      <c r="L29" s="27">
        <v>35.6</v>
      </c>
      <c r="M29" s="27">
        <v>23.5</v>
      </c>
      <c r="N29" s="27">
        <v>53.3</v>
      </c>
      <c r="O29" s="27">
        <v>46.7</v>
      </c>
      <c r="P29" s="27">
        <v>51.2</v>
      </c>
      <c r="Q29" s="668">
        <v>50.2</v>
      </c>
      <c r="R29" s="668">
        <v>56.1</v>
      </c>
      <c r="S29" s="29"/>
      <c r="T29" s="29"/>
      <c r="U29" s="30"/>
      <c r="V29" s="30"/>
      <c r="W29" s="30"/>
      <c r="X29" s="30"/>
      <c r="Y29" s="30"/>
      <c r="Z29" s="30"/>
      <c r="AA29" s="30"/>
      <c r="AB29" s="682"/>
      <c r="AC29" s="682"/>
      <c r="AD29" s="669"/>
      <c r="AE29" s="669"/>
      <c r="AF29" s="669"/>
      <c r="AG29" s="669"/>
      <c r="AH29" s="669"/>
      <c r="AI29" s="669"/>
      <c r="AJ29" s="669"/>
      <c r="AK29" s="669"/>
      <c r="AL29" s="669"/>
      <c r="AM29" s="669"/>
      <c r="AN29" s="669"/>
      <c r="AO29" s="669"/>
      <c r="AP29" s="669"/>
      <c r="AQ29" s="669"/>
      <c r="AR29" s="669"/>
      <c r="AS29" s="669"/>
      <c r="AT29" s="669"/>
      <c r="AU29" s="669"/>
      <c r="AV29" s="669"/>
      <c r="AW29" s="669"/>
      <c r="AX29" s="669"/>
      <c r="AY29" s="669"/>
      <c r="AZ29" s="669"/>
      <c r="BA29" s="669"/>
      <c r="BB29" s="669"/>
      <c r="BC29" s="669"/>
      <c r="BD29" s="669"/>
      <c r="BE29" s="669"/>
      <c r="BF29" s="669"/>
      <c r="BG29" s="669"/>
      <c r="BH29" s="669"/>
      <c r="BI29" s="669"/>
      <c r="BJ29" s="669"/>
      <c r="BK29" s="669"/>
      <c r="BL29" s="669"/>
      <c r="BM29" s="669"/>
      <c r="BN29" s="669"/>
      <c r="BO29" s="669"/>
      <c r="BP29" s="669"/>
      <c r="BQ29" s="669"/>
      <c r="BR29" s="669"/>
      <c r="BS29" s="669"/>
      <c r="BT29" s="669"/>
      <c r="BU29" s="669"/>
      <c r="BV29" s="669"/>
      <c r="BW29" s="669"/>
    </row>
    <row r="30" spans="1:76" s="672" customFormat="1" ht="7.5" customHeight="1" x14ac:dyDescent="0.2">
      <c r="A30" s="665" t="s">
        <v>629</v>
      </c>
      <c r="B30" s="2" t="s">
        <v>515</v>
      </c>
      <c r="C30" s="666"/>
      <c r="D30" s="666"/>
      <c r="E30" s="667"/>
      <c r="F30" s="668">
        <v>2.9</v>
      </c>
      <c r="G30" s="668">
        <v>7</v>
      </c>
      <c r="H30" s="668">
        <v>3.5</v>
      </c>
      <c r="I30" s="668">
        <v>11.5</v>
      </c>
      <c r="J30" s="27">
        <v>5.5</v>
      </c>
      <c r="K30" s="27">
        <v>7.1</v>
      </c>
      <c r="L30" s="27">
        <v>1.3</v>
      </c>
      <c r="M30" s="27">
        <v>4.2</v>
      </c>
      <c r="N30" s="27">
        <v>5.4</v>
      </c>
      <c r="O30" s="27">
        <v>5.9</v>
      </c>
      <c r="P30" s="27">
        <v>6.6</v>
      </c>
      <c r="Q30" s="668">
        <v>9.3000000000000007</v>
      </c>
      <c r="R30" s="668">
        <v>14.2</v>
      </c>
      <c r="S30" s="606" t="s">
        <v>526</v>
      </c>
      <c r="T30" s="31"/>
      <c r="U30" s="736">
        <v>353.5</v>
      </c>
      <c r="V30" s="736">
        <v>661.1</v>
      </c>
      <c r="W30" s="736">
        <v>389.7</v>
      </c>
      <c r="X30" s="736">
        <v>387</v>
      </c>
      <c r="Y30" s="736">
        <v>654.20000000000005</v>
      </c>
      <c r="Z30" s="736">
        <v>783.1</v>
      </c>
      <c r="AA30" s="736">
        <v>741.9</v>
      </c>
      <c r="AB30" s="687"/>
      <c r="AC30" s="687"/>
      <c r="AD30" s="674"/>
      <c r="AE30" s="674"/>
      <c r="AF30" s="674"/>
      <c r="AG30" s="674"/>
      <c r="AH30" s="674"/>
      <c r="AI30" s="674"/>
      <c r="AJ30" s="674"/>
      <c r="AK30" s="674"/>
      <c r="AL30" s="674"/>
      <c r="AM30" s="674"/>
      <c r="AN30" s="674"/>
      <c r="AO30" s="674"/>
      <c r="AP30" s="674"/>
      <c r="AQ30" s="674"/>
      <c r="AR30" s="674"/>
      <c r="AS30" s="674"/>
      <c r="AT30" s="674"/>
      <c r="AU30" s="674"/>
      <c r="AV30" s="674"/>
      <c r="AW30" s="674"/>
      <c r="AX30" s="674"/>
      <c r="AY30" s="674"/>
      <c r="AZ30" s="674"/>
      <c r="BA30" s="674"/>
      <c r="BB30" s="674"/>
      <c r="BC30" s="674"/>
      <c r="BD30" s="674"/>
      <c r="BE30" s="674"/>
      <c r="BF30" s="674"/>
      <c r="BG30" s="674"/>
      <c r="BH30" s="674"/>
      <c r="BI30" s="674"/>
      <c r="BJ30" s="674"/>
      <c r="BK30" s="674"/>
      <c r="BL30" s="674"/>
      <c r="BM30" s="674"/>
      <c r="BN30" s="674"/>
      <c r="BO30" s="674"/>
      <c r="BP30" s="674"/>
      <c r="BQ30" s="674"/>
      <c r="BR30" s="674"/>
      <c r="BS30" s="674"/>
      <c r="BT30" s="674"/>
      <c r="BU30" s="674"/>
      <c r="BV30" s="674"/>
      <c r="BW30" s="674"/>
    </row>
    <row r="31" spans="1:76" s="667" customFormat="1" ht="12.75" customHeight="1" x14ac:dyDescent="0.2">
      <c r="A31" s="665" t="s">
        <v>630</v>
      </c>
      <c r="B31" s="2" t="s">
        <v>516</v>
      </c>
      <c r="C31" s="666"/>
      <c r="D31" s="666"/>
      <c r="F31" s="668">
        <v>14.2</v>
      </c>
      <c r="G31" s="668">
        <v>38.200000000000003</v>
      </c>
      <c r="H31" s="668">
        <v>23.3</v>
      </c>
      <c r="I31" s="668">
        <v>66.3</v>
      </c>
      <c r="J31" s="27">
        <v>45.3</v>
      </c>
      <c r="K31" s="27">
        <v>97.7</v>
      </c>
      <c r="L31" s="27">
        <v>44.7</v>
      </c>
      <c r="M31" s="27">
        <v>40.4</v>
      </c>
      <c r="N31" s="27">
        <v>93.8</v>
      </c>
      <c r="O31" s="27">
        <v>118.4</v>
      </c>
      <c r="P31" s="27">
        <v>93.6</v>
      </c>
      <c r="Q31" s="668">
        <v>136.1</v>
      </c>
      <c r="R31" s="668">
        <v>143.9</v>
      </c>
      <c r="S31" s="669"/>
      <c r="T31" s="669"/>
      <c r="U31" s="692"/>
      <c r="V31" s="692"/>
      <c r="W31" s="692"/>
      <c r="X31" s="692"/>
      <c r="Y31" s="692"/>
      <c r="Z31" s="692"/>
      <c r="AA31" s="692"/>
      <c r="AB31" s="692"/>
      <c r="AC31" s="692"/>
      <c r="AD31" s="669"/>
      <c r="AE31" s="669"/>
      <c r="AF31" s="669"/>
      <c r="AG31" s="669"/>
      <c r="AH31" s="669"/>
      <c r="AI31" s="669"/>
      <c r="AJ31" s="669"/>
      <c r="AK31" s="669"/>
      <c r="AL31" s="669"/>
      <c r="AM31" s="669"/>
      <c r="AN31" s="669"/>
      <c r="AO31" s="669"/>
      <c r="AP31" s="669"/>
      <c r="AQ31" s="669"/>
      <c r="AR31" s="669"/>
      <c r="AS31" s="669"/>
      <c r="AT31" s="669"/>
      <c r="AU31" s="669"/>
      <c r="AV31" s="669"/>
      <c r="AW31" s="669"/>
      <c r="AX31" s="669"/>
      <c r="AY31" s="669"/>
      <c r="AZ31" s="669"/>
      <c r="BA31" s="669"/>
      <c r="BB31" s="669"/>
      <c r="BC31" s="669"/>
      <c r="BD31" s="669"/>
      <c r="BE31" s="669"/>
      <c r="BF31" s="669"/>
      <c r="BG31" s="669"/>
      <c r="BH31" s="669"/>
      <c r="BI31" s="669"/>
      <c r="BJ31" s="669"/>
      <c r="BK31" s="669"/>
      <c r="BL31" s="669"/>
      <c r="BM31" s="669"/>
      <c r="BN31" s="669"/>
      <c r="BO31" s="669"/>
      <c r="BP31" s="669"/>
      <c r="BQ31" s="669"/>
      <c r="BR31" s="669"/>
      <c r="BS31" s="669"/>
      <c r="BT31" s="669"/>
      <c r="BU31" s="669"/>
      <c r="BV31" s="669"/>
      <c r="BW31" s="669"/>
    </row>
    <row r="32" spans="1:76" s="667" customFormat="1" ht="12.75" customHeight="1" x14ac:dyDescent="0.2">
      <c r="A32" s="665" t="s">
        <v>631</v>
      </c>
      <c r="B32" s="2" t="s">
        <v>517</v>
      </c>
      <c r="C32" s="666"/>
      <c r="D32" s="666"/>
      <c r="F32" s="668">
        <v>7.6</v>
      </c>
      <c r="G32" s="668">
        <v>11.6</v>
      </c>
      <c r="H32" s="668">
        <v>9.5</v>
      </c>
      <c r="I32" s="668">
        <v>14.6</v>
      </c>
      <c r="J32" s="27">
        <v>11.6</v>
      </c>
      <c r="K32" s="27">
        <v>19.600000000000001</v>
      </c>
      <c r="L32" s="27">
        <v>14.8</v>
      </c>
      <c r="M32" s="27">
        <v>15.5</v>
      </c>
      <c r="N32" s="27">
        <v>21.3</v>
      </c>
      <c r="O32" s="27">
        <v>22.6</v>
      </c>
      <c r="P32" s="27">
        <v>23.8</v>
      </c>
      <c r="Q32" s="668">
        <v>25.2</v>
      </c>
      <c r="R32" s="668">
        <v>32</v>
      </c>
      <c r="S32" s="669"/>
      <c r="T32" s="669"/>
      <c r="U32" s="669"/>
      <c r="V32" s="669"/>
      <c r="W32" s="669"/>
      <c r="X32" s="669"/>
      <c r="Y32" s="669"/>
      <c r="Z32" s="669"/>
      <c r="AA32" s="669"/>
      <c r="AB32" s="669"/>
      <c r="AC32" s="669"/>
      <c r="AD32" s="669"/>
      <c r="AE32" s="669"/>
      <c r="AF32" s="669"/>
      <c r="AG32" s="669"/>
      <c r="AH32" s="669"/>
      <c r="AI32" s="669"/>
      <c r="AJ32" s="669"/>
      <c r="AK32" s="669"/>
      <c r="AL32" s="669"/>
      <c r="AM32" s="669"/>
      <c r="AN32" s="669"/>
      <c r="AO32" s="669"/>
      <c r="AP32" s="669"/>
      <c r="AQ32" s="669"/>
      <c r="AR32" s="669"/>
      <c r="AS32" s="669"/>
      <c r="AT32" s="669"/>
      <c r="AU32" s="669"/>
      <c r="AV32" s="669"/>
      <c r="AW32" s="669"/>
      <c r="AX32" s="669"/>
      <c r="AY32" s="669"/>
      <c r="AZ32" s="669"/>
      <c r="BA32" s="669"/>
      <c r="BB32" s="669"/>
      <c r="BC32" s="669"/>
      <c r="BD32" s="669"/>
      <c r="BE32" s="669"/>
      <c r="BF32" s="669"/>
      <c r="BG32" s="669"/>
      <c r="BH32" s="669"/>
      <c r="BI32" s="669"/>
      <c r="BJ32" s="669"/>
      <c r="BK32" s="669"/>
      <c r="BL32" s="669"/>
      <c r="BM32" s="669"/>
      <c r="BN32" s="669"/>
      <c r="BO32" s="669"/>
      <c r="BP32" s="669"/>
      <c r="BQ32" s="669"/>
      <c r="BR32" s="669"/>
      <c r="BS32" s="669"/>
      <c r="BT32" s="669"/>
      <c r="BU32" s="669"/>
      <c r="BV32" s="669"/>
      <c r="BW32" s="669"/>
    </row>
    <row r="33" spans="1:76" s="667" customFormat="1" ht="17.25" customHeight="1" x14ac:dyDescent="0.2">
      <c r="A33" s="665" t="s">
        <v>632</v>
      </c>
      <c r="B33" s="2" t="s">
        <v>569</v>
      </c>
      <c r="C33" s="666"/>
      <c r="D33" s="666"/>
      <c r="F33" s="668">
        <v>21.1</v>
      </c>
      <c r="G33" s="668">
        <v>58.9</v>
      </c>
      <c r="H33" s="668">
        <v>39</v>
      </c>
      <c r="I33" s="668">
        <v>92.4</v>
      </c>
      <c r="J33" s="27">
        <v>41.5</v>
      </c>
      <c r="K33" s="27">
        <v>86.8</v>
      </c>
      <c r="L33" s="27">
        <v>38.4</v>
      </c>
      <c r="M33" s="27">
        <v>48.6</v>
      </c>
      <c r="N33" s="27">
        <v>67.8</v>
      </c>
      <c r="O33" s="27">
        <v>104.7</v>
      </c>
      <c r="P33" s="27">
        <v>91.6</v>
      </c>
      <c r="Q33" s="668">
        <v>99.8</v>
      </c>
      <c r="R33" s="668">
        <v>116</v>
      </c>
      <c r="S33" s="669"/>
      <c r="T33" s="669"/>
      <c r="U33" s="669"/>
      <c r="V33" s="669"/>
      <c r="W33" s="669"/>
      <c r="X33" s="669"/>
      <c r="Y33" s="669"/>
      <c r="Z33" s="669"/>
      <c r="AA33" s="669"/>
      <c r="AB33" s="669"/>
      <c r="AC33" s="669"/>
      <c r="AD33" s="669"/>
      <c r="AE33" s="669"/>
      <c r="AF33" s="669"/>
      <c r="AG33" s="669"/>
      <c r="AH33" s="669"/>
      <c r="AI33" s="669"/>
      <c r="AJ33" s="669"/>
      <c r="AK33" s="669"/>
      <c r="AL33" s="669"/>
      <c r="AM33" s="669"/>
      <c r="AN33" s="669"/>
      <c r="AO33" s="669"/>
      <c r="AP33" s="669"/>
      <c r="AQ33" s="669"/>
      <c r="AR33" s="669"/>
      <c r="AS33" s="669"/>
      <c r="AT33" s="669"/>
      <c r="AU33" s="669"/>
      <c r="AV33" s="669"/>
      <c r="AW33" s="669"/>
      <c r="AX33" s="669"/>
      <c r="AY33" s="669"/>
      <c r="AZ33" s="669"/>
      <c r="BA33" s="669"/>
      <c r="BB33" s="669"/>
      <c r="BC33" s="669"/>
      <c r="BD33" s="669"/>
      <c r="BE33" s="669"/>
      <c r="BF33" s="669"/>
      <c r="BG33" s="669"/>
      <c r="BH33" s="669"/>
      <c r="BI33" s="669"/>
      <c r="BJ33" s="669"/>
      <c r="BK33" s="669"/>
      <c r="BL33" s="669"/>
      <c r="BM33" s="669"/>
      <c r="BN33" s="669"/>
      <c r="BO33" s="669"/>
      <c r="BP33" s="669"/>
      <c r="BQ33" s="669"/>
      <c r="BR33" s="669"/>
      <c r="BS33" s="669"/>
      <c r="BT33" s="669"/>
      <c r="BU33" s="669"/>
      <c r="BV33" s="669"/>
      <c r="BW33" s="669"/>
    </row>
    <row r="34" spans="1:76" s="667" customFormat="1" ht="18.75" customHeight="1" x14ac:dyDescent="0.2">
      <c r="A34" s="665" t="s">
        <v>633</v>
      </c>
      <c r="B34" s="2" t="s">
        <v>519</v>
      </c>
      <c r="C34" s="666"/>
      <c r="D34" s="666"/>
      <c r="F34" s="668" t="s">
        <v>637</v>
      </c>
      <c r="G34" s="668" t="s">
        <v>637</v>
      </c>
      <c r="H34" s="668" t="s">
        <v>610</v>
      </c>
      <c r="I34" s="676">
        <v>1.4</v>
      </c>
      <c r="J34" s="734">
        <v>6.1</v>
      </c>
      <c r="K34" s="27">
        <v>5.5</v>
      </c>
      <c r="L34" s="734">
        <v>8.8000000000000007</v>
      </c>
      <c r="M34" s="734">
        <v>8.1999999999999993</v>
      </c>
      <c r="N34" s="27">
        <v>14.2</v>
      </c>
      <c r="O34" s="27">
        <v>15.9</v>
      </c>
      <c r="P34" s="27">
        <v>23.6</v>
      </c>
      <c r="Q34" s="668">
        <v>22.8</v>
      </c>
      <c r="R34" s="668">
        <v>12.2</v>
      </c>
      <c r="S34" s="669"/>
      <c r="T34" s="669"/>
      <c r="U34" s="669"/>
      <c r="V34" s="669"/>
      <c r="W34" s="669"/>
      <c r="X34" s="669"/>
      <c r="Y34" s="669"/>
      <c r="Z34" s="669"/>
      <c r="AA34" s="669"/>
      <c r="AB34" s="669"/>
      <c r="AC34" s="669"/>
      <c r="AD34" s="669"/>
      <c r="AE34" s="669"/>
      <c r="AF34" s="669"/>
      <c r="AG34" s="669"/>
      <c r="AH34" s="669"/>
      <c r="AI34" s="669"/>
      <c r="AJ34" s="669"/>
      <c r="AK34" s="669"/>
      <c r="AL34" s="669"/>
      <c r="AM34" s="669"/>
      <c r="AN34" s="669"/>
      <c r="AO34" s="669"/>
      <c r="AP34" s="669"/>
      <c r="AQ34" s="669"/>
      <c r="AR34" s="669"/>
      <c r="AS34" s="669"/>
      <c r="AT34" s="669"/>
      <c r="AU34" s="669"/>
      <c r="AV34" s="669"/>
      <c r="AW34" s="669"/>
      <c r="AX34" s="669"/>
      <c r="AY34" s="669"/>
      <c r="AZ34" s="669"/>
      <c r="BA34" s="669"/>
      <c r="BB34" s="669"/>
      <c r="BC34" s="669"/>
      <c r="BD34" s="669"/>
      <c r="BE34" s="669"/>
      <c r="BF34" s="669"/>
      <c r="BG34" s="669"/>
      <c r="BH34" s="669"/>
      <c r="BI34" s="669"/>
      <c r="BJ34" s="669"/>
      <c r="BK34" s="669"/>
      <c r="BL34" s="669"/>
      <c r="BM34" s="669"/>
      <c r="BN34" s="669"/>
      <c r="BO34" s="669"/>
      <c r="BP34" s="669"/>
      <c r="BQ34" s="669"/>
      <c r="BR34" s="669"/>
      <c r="BS34" s="669"/>
      <c r="BT34" s="669"/>
      <c r="BU34" s="669"/>
      <c r="BV34" s="669"/>
      <c r="BW34" s="669"/>
    </row>
    <row r="35" spans="1:76" s="667" customFormat="1" ht="12.75" customHeight="1" x14ac:dyDescent="0.2">
      <c r="A35" s="665" t="s">
        <v>634</v>
      </c>
      <c r="B35" s="2" t="s">
        <v>574</v>
      </c>
      <c r="C35" s="666"/>
      <c r="D35" s="666"/>
      <c r="F35" s="668">
        <v>11.5</v>
      </c>
      <c r="G35" s="668">
        <v>28.1</v>
      </c>
      <c r="H35" s="668">
        <v>17.7</v>
      </c>
      <c r="I35" s="668">
        <v>43.6</v>
      </c>
      <c r="J35" s="27">
        <v>27.7</v>
      </c>
      <c r="K35" s="27">
        <v>63.6</v>
      </c>
      <c r="L35" s="27">
        <v>25.6</v>
      </c>
      <c r="M35" s="27">
        <v>27.7</v>
      </c>
      <c r="N35" s="27">
        <v>52.4</v>
      </c>
      <c r="O35" s="27">
        <v>65.7</v>
      </c>
      <c r="P35" s="27">
        <v>62.7</v>
      </c>
      <c r="Q35" s="668">
        <v>79.599999999999994</v>
      </c>
      <c r="R35" s="668">
        <v>83.7</v>
      </c>
      <c r="S35" s="669"/>
      <c r="T35" s="669"/>
      <c r="U35" s="669"/>
      <c r="V35" s="669"/>
      <c r="W35" s="669"/>
      <c r="X35" s="669"/>
      <c r="Y35" s="669"/>
      <c r="Z35" s="669"/>
      <c r="AA35" s="669"/>
      <c r="AB35" s="669"/>
      <c r="AC35" s="669"/>
      <c r="AD35" s="669"/>
      <c r="AE35" s="669"/>
      <c r="AF35" s="669"/>
      <c r="AG35" s="669"/>
      <c r="AH35" s="669"/>
      <c r="AI35" s="669"/>
      <c r="AJ35" s="669"/>
      <c r="AK35" s="669"/>
      <c r="AL35" s="669"/>
      <c r="AM35" s="669"/>
      <c r="AN35" s="669"/>
      <c r="AO35" s="669"/>
      <c r="AP35" s="669"/>
      <c r="AQ35" s="669"/>
      <c r="AR35" s="669"/>
      <c r="AS35" s="669"/>
      <c r="AT35" s="669"/>
      <c r="AU35" s="669"/>
      <c r="AV35" s="669"/>
      <c r="AW35" s="669"/>
      <c r="AX35" s="669"/>
      <c r="AY35" s="669"/>
      <c r="AZ35" s="669"/>
      <c r="BA35" s="669"/>
      <c r="BB35" s="669"/>
      <c r="BC35" s="669"/>
      <c r="BD35" s="669"/>
      <c r="BE35" s="669"/>
      <c r="BF35" s="669"/>
      <c r="BG35" s="669"/>
      <c r="BH35" s="669"/>
      <c r="BI35" s="669"/>
      <c r="BJ35" s="669"/>
      <c r="BK35" s="669"/>
      <c r="BL35" s="669"/>
      <c r="BM35" s="669"/>
      <c r="BN35" s="669"/>
      <c r="BO35" s="669"/>
      <c r="BP35" s="669"/>
      <c r="BQ35" s="669"/>
      <c r="BR35" s="669"/>
      <c r="BS35" s="669"/>
      <c r="BT35" s="669"/>
      <c r="BU35" s="669"/>
      <c r="BV35" s="669"/>
      <c r="BW35" s="669"/>
    </row>
    <row r="36" spans="1:76" s="667" customFormat="1" ht="12.75" customHeight="1" x14ac:dyDescent="0.2">
      <c r="A36" s="665" t="s">
        <v>635</v>
      </c>
      <c r="B36" s="2" t="s">
        <v>577</v>
      </c>
      <c r="C36" s="666"/>
      <c r="D36" s="666"/>
      <c r="F36" s="668">
        <v>16.600000000000001</v>
      </c>
      <c r="G36" s="668">
        <v>26.5</v>
      </c>
      <c r="H36" s="668">
        <v>30.2</v>
      </c>
      <c r="I36" s="668">
        <v>42.1</v>
      </c>
      <c r="J36" s="27">
        <v>21.1</v>
      </c>
      <c r="K36" s="27">
        <v>46.5</v>
      </c>
      <c r="L36" s="27">
        <v>29.6</v>
      </c>
      <c r="M36" s="27">
        <v>26</v>
      </c>
      <c r="N36" s="27">
        <v>55.6</v>
      </c>
      <c r="O36" s="27">
        <v>63.9</v>
      </c>
      <c r="P36" s="27">
        <v>48.5</v>
      </c>
      <c r="Q36" s="668">
        <v>56.7</v>
      </c>
      <c r="R36" s="668">
        <v>75.7</v>
      </c>
      <c r="S36" s="669"/>
      <c r="T36" s="669"/>
      <c r="U36" s="669"/>
      <c r="V36" s="669"/>
      <c r="W36" s="669"/>
      <c r="X36" s="669"/>
      <c r="Y36" s="669"/>
      <c r="Z36" s="669"/>
      <c r="AA36" s="669"/>
      <c r="AB36" s="669"/>
      <c r="AC36" s="669"/>
      <c r="AD36" s="669"/>
      <c r="AE36" s="669"/>
      <c r="AF36" s="669"/>
      <c r="AG36" s="669"/>
      <c r="AH36" s="669"/>
      <c r="AI36" s="669"/>
      <c r="AJ36" s="669"/>
      <c r="AK36" s="669"/>
      <c r="AL36" s="669"/>
      <c r="AM36" s="669"/>
      <c r="AN36" s="669"/>
      <c r="AO36" s="669"/>
      <c r="AP36" s="669"/>
      <c r="AQ36" s="669"/>
      <c r="AR36" s="669"/>
      <c r="AS36" s="669"/>
      <c r="AT36" s="669"/>
      <c r="AU36" s="669"/>
      <c r="AV36" s="669"/>
      <c r="AW36" s="669"/>
      <c r="AX36" s="669"/>
      <c r="AY36" s="669"/>
      <c r="AZ36" s="669"/>
      <c r="BA36" s="669"/>
      <c r="BB36" s="669"/>
      <c r="BC36" s="669"/>
      <c r="BD36" s="669"/>
      <c r="BE36" s="669"/>
      <c r="BF36" s="669"/>
      <c r="BG36" s="669"/>
      <c r="BH36" s="669"/>
      <c r="BI36" s="669"/>
      <c r="BJ36" s="669"/>
      <c r="BK36" s="669"/>
      <c r="BL36" s="669"/>
      <c r="BM36" s="669"/>
      <c r="BN36" s="669"/>
      <c r="BO36" s="669"/>
      <c r="BP36" s="669"/>
      <c r="BQ36" s="669"/>
      <c r="BR36" s="669"/>
      <c r="BS36" s="669"/>
      <c r="BT36" s="669"/>
      <c r="BU36" s="669"/>
      <c r="BV36" s="669"/>
      <c r="BW36" s="669"/>
    </row>
    <row r="37" spans="1:76" s="667" customFormat="1" ht="12.75" customHeight="1" x14ac:dyDescent="0.2">
      <c r="A37" s="670"/>
      <c r="B37" s="675"/>
      <c r="C37" s="671"/>
      <c r="D37" s="671"/>
      <c r="E37" s="672"/>
      <c r="F37" s="673"/>
      <c r="G37" s="673"/>
      <c r="H37" s="673"/>
      <c r="I37" s="673"/>
      <c r="J37" s="735"/>
      <c r="K37" s="735"/>
      <c r="L37" s="735"/>
      <c r="M37" s="735"/>
      <c r="N37" s="735"/>
      <c r="O37" s="735"/>
      <c r="P37" s="735"/>
      <c r="Q37" s="673"/>
      <c r="R37" s="673"/>
      <c r="S37" s="669"/>
      <c r="T37" s="669"/>
      <c r="U37" s="669"/>
      <c r="V37" s="669"/>
      <c r="W37" s="669"/>
      <c r="X37" s="669"/>
      <c r="Y37" s="669"/>
      <c r="Z37" s="669"/>
      <c r="AA37" s="669"/>
      <c r="AB37" s="669"/>
      <c r="AC37" s="669"/>
      <c r="AD37" s="669"/>
      <c r="AE37" s="669"/>
      <c r="AF37" s="669"/>
      <c r="AG37" s="669"/>
      <c r="AH37" s="669"/>
      <c r="AI37" s="669"/>
      <c r="AJ37" s="669"/>
      <c r="AK37" s="669"/>
      <c r="AL37" s="669"/>
      <c r="AM37" s="669"/>
      <c r="AN37" s="669"/>
      <c r="AO37" s="669"/>
      <c r="AP37" s="669"/>
      <c r="AQ37" s="669"/>
      <c r="AR37" s="669"/>
      <c r="AS37" s="669"/>
      <c r="AT37" s="669"/>
      <c r="AU37" s="669"/>
      <c r="AV37" s="669"/>
      <c r="AW37" s="669"/>
      <c r="AX37" s="669"/>
      <c r="AY37" s="669"/>
      <c r="AZ37" s="669"/>
      <c r="BA37" s="669"/>
      <c r="BB37" s="669"/>
      <c r="BC37" s="669"/>
      <c r="BD37" s="669"/>
      <c r="BE37" s="669"/>
      <c r="BF37" s="669"/>
      <c r="BG37" s="669"/>
      <c r="BH37" s="669"/>
      <c r="BI37" s="669"/>
      <c r="BJ37" s="669"/>
      <c r="BK37" s="669"/>
      <c r="BL37" s="669"/>
      <c r="BM37" s="669"/>
      <c r="BN37" s="669"/>
      <c r="BO37" s="669"/>
      <c r="BP37" s="669"/>
      <c r="BQ37" s="669"/>
      <c r="BR37" s="669"/>
      <c r="BS37" s="669"/>
      <c r="BT37" s="669"/>
      <c r="BU37" s="669"/>
      <c r="BV37" s="669"/>
      <c r="BW37" s="669"/>
    </row>
    <row r="38" spans="1:76" s="667" customFormat="1" ht="12.75" customHeight="1" x14ac:dyDescent="0.2">
      <c r="A38" s="665" t="s">
        <v>584</v>
      </c>
      <c r="B38" s="2" t="s">
        <v>585</v>
      </c>
      <c r="C38" s="666"/>
      <c r="D38" s="666"/>
      <c r="F38" s="668">
        <v>169.2</v>
      </c>
      <c r="G38" s="668">
        <v>328.6</v>
      </c>
      <c r="H38" s="668">
        <v>234.6</v>
      </c>
      <c r="I38" s="668">
        <v>461.3</v>
      </c>
      <c r="J38" s="27">
        <v>306.39999999999998</v>
      </c>
      <c r="K38" s="27">
        <v>561.29999999999995</v>
      </c>
      <c r="L38" s="27">
        <v>347.1</v>
      </c>
      <c r="M38" s="27">
        <v>346.5</v>
      </c>
      <c r="N38" s="27">
        <v>556.4</v>
      </c>
      <c r="O38" s="27">
        <v>672.5</v>
      </c>
      <c r="P38" s="27">
        <v>638.6</v>
      </c>
      <c r="Q38" s="668">
        <v>727.9</v>
      </c>
      <c r="R38" s="668">
        <v>812.8</v>
      </c>
      <c r="S38" s="669"/>
      <c r="T38" s="669"/>
      <c r="U38" s="669"/>
      <c r="V38" s="669"/>
      <c r="W38" s="669"/>
      <c r="X38" s="669"/>
      <c r="Y38" s="669"/>
      <c r="Z38" s="669"/>
      <c r="AA38" s="669"/>
      <c r="AB38" s="669"/>
      <c r="AC38" s="669"/>
      <c r="AD38" s="669"/>
      <c r="AE38" s="669"/>
      <c r="AF38" s="669"/>
      <c r="AG38" s="669"/>
      <c r="AH38" s="669"/>
      <c r="AI38" s="669"/>
      <c r="AJ38" s="669"/>
      <c r="AK38" s="669"/>
      <c r="AL38" s="669"/>
      <c r="AM38" s="669"/>
      <c r="AN38" s="669"/>
      <c r="AO38" s="669"/>
      <c r="AP38" s="669"/>
      <c r="AQ38" s="669"/>
      <c r="AR38" s="669"/>
      <c r="AS38" s="669"/>
      <c r="AT38" s="669"/>
      <c r="AU38" s="669"/>
      <c r="AV38" s="669"/>
      <c r="AW38" s="669"/>
      <c r="AX38" s="669"/>
      <c r="AY38" s="669"/>
      <c r="AZ38" s="669"/>
      <c r="BA38" s="669"/>
      <c r="BB38" s="669"/>
      <c r="BC38" s="669"/>
      <c r="BD38" s="669"/>
      <c r="BE38" s="669"/>
      <c r="BF38" s="669"/>
      <c r="BG38" s="669"/>
      <c r="BH38" s="669"/>
      <c r="BI38" s="669"/>
      <c r="BJ38" s="669"/>
      <c r="BK38" s="669"/>
      <c r="BL38" s="669"/>
      <c r="BM38" s="669"/>
      <c r="BN38" s="669"/>
      <c r="BO38" s="669"/>
      <c r="BP38" s="669"/>
      <c r="BQ38" s="669"/>
      <c r="BR38" s="669"/>
      <c r="BS38" s="669"/>
      <c r="BT38" s="669"/>
      <c r="BU38" s="669"/>
      <c r="BV38" s="669"/>
      <c r="BW38" s="669"/>
    </row>
    <row r="39" spans="1:76" s="672" customFormat="1" ht="7.5" customHeight="1" x14ac:dyDescent="0.2">
      <c r="A39" s="670"/>
      <c r="B39" s="670"/>
      <c r="C39" s="671"/>
      <c r="D39" s="671"/>
      <c r="F39" s="673"/>
      <c r="G39" s="673"/>
      <c r="H39" s="673"/>
      <c r="I39" s="673"/>
      <c r="J39" s="735"/>
      <c r="K39" s="735"/>
      <c r="L39" s="735"/>
      <c r="M39" s="735"/>
      <c r="N39" s="735"/>
      <c r="O39" s="735"/>
      <c r="P39" s="735"/>
      <c r="Q39" s="673"/>
      <c r="R39" s="673"/>
      <c r="S39" s="674"/>
      <c r="T39" s="674"/>
      <c r="U39" s="674"/>
      <c r="V39" s="674"/>
      <c r="W39" s="674"/>
      <c r="X39" s="674"/>
      <c r="Y39" s="674"/>
      <c r="Z39" s="674"/>
      <c r="AA39" s="674"/>
      <c r="AB39" s="674"/>
      <c r="AC39" s="674"/>
      <c r="AD39" s="674"/>
      <c r="AE39" s="674"/>
      <c r="AF39" s="674"/>
      <c r="AG39" s="674"/>
      <c r="AH39" s="674"/>
      <c r="AI39" s="674"/>
      <c r="AJ39" s="674"/>
      <c r="AK39" s="674"/>
      <c r="AL39" s="674"/>
      <c r="AM39" s="674"/>
      <c r="AN39" s="674"/>
      <c r="AO39" s="674"/>
      <c r="AP39" s="674"/>
      <c r="AQ39" s="674"/>
      <c r="AR39" s="674"/>
      <c r="AS39" s="674"/>
      <c r="AT39" s="674"/>
      <c r="AU39" s="674"/>
      <c r="AV39" s="674"/>
      <c r="AW39" s="674"/>
      <c r="AX39" s="674"/>
      <c r="AY39" s="674"/>
      <c r="AZ39" s="674"/>
      <c r="BA39" s="674"/>
      <c r="BB39" s="674"/>
      <c r="BC39" s="674"/>
      <c r="BD39" s="674"/>
      <c r="BE39" s="674"/>
      <c r="BF39" s="674"/>
      <c r="BG39" s="674"/>
      <c r="BH39" s="674"/>
      <c r="BI39" s="674"/>
      <c r="BJ39" s="674"/>
      <c r="BK39" s="674"/>
      <c r="BL39" s="674"/>
      <c r="BM39" s="674"/>
      <c r="BN39" s="674"/>
      <c r="BO39" s="674"/>
      <c r="BP39" s="674"/>
      <c r="BQ39" s="674"/>
      <c r="BR39" s="674"/>
      <c r="BS39" s="674"/>
      <c r="BT39" s="674"/>
      <c r="BU39" s="674"/>
      <c r="BV39" s="674"/>
      <c r="BW39" s="674"/>
    </row>
    <row r="40" spans="1:76" s="672" customFormat="1" ht="17.25" customHeight="1" x14ac:dyDescent="0.2">
      <c r="A40" s="665" t="s">
        <v>636</v>
      </c>
      <c r="B40" s="2" t="s">
        <v>580</v>
      </c>
      <c r="C40" s="677"/>
      <c r="D40" s="666"/>
      <c r="E40" s="667"/>
      <c r="F40" s="668">
        <v>23</v>
      </c>
      <c r="G40" s="668">
        <v>36.1</v>
      </c>
      <c r="H40" s="668">
        <v>37.5</v>
      </c>
      <c r="I40" s="668">
        <v>65.8</v>
      </c>
      <c r="J40" s="27">
        <v>47.1</v>
      </c>
      <c r="K40" s="27">
        <v>99.8</v>
      </c>
      <c r="L40" s="27">
        <v>42.6</v>
      </c>
      <c r="M40" s="27">
        <v>40.6</v>
      </c>
      <c r="N40" s="27">
        <v>97.8</v>
      </c>
      <c r="O40" s="27">
        <v>110.6</v>
      </c>
      <c r="P40" s="27">
        <v>103.3</v>
      </c>
      <c r="Q40" s="668">
        <v>88.9</v>
      </c>
      <c r="R40" s="668">
        <v>97.3</v>
      </c>
      <c r="S40" s="674"/>
      <c r="T40" s="674"/>
      <c r="U40" s="674"/>
      <c r="V40" s="674"/>
      <c r="W40" s="674"/>
      <c r="X40" s="674"/>
      <c r="Y40" s="674"/>
      <c r="Z40" s="674"/>
      <c r="AA40" s="674"/>
      <c r="AB40" s="674"/>
      <c r="AC40" s="674"/>
      <c r="AD40" s="674"/>
      <c r="AE40" s="674"/>
      <c r="AF40" s="674"/>
      <c r="AG40" s="674"/>
      <c r="AH40" s="674"/>
      <c r="AI40" s="674"/>
      <c r="AJ40" s="674"/>
      <c r="AK40" s="674"/>
      <c r="AL40" s="674"/>
      <c r="AM40" s="674"/>
      <c r="AN40" s="674"/>
      <c r="AO40" s="674"/>
      <c r="AP40" s="674"/>
      <c r="AQ40" s="674"/>
      <c r="AR40" s="674"/>
      <c r="AS40" s="674"/>
      <c r="AT40" s="674"/>
      <c r="AU40" s="674"/>
      <c r="AV40" s="674"/>
      <c r="AW40" s="674"/>
      <c r="AX40" s="674"/>
      <c r="AY40" s="674"/>
      <c r="AZ40" s="674"/>
      <c r="BA40" s="674"/>
      <c r="BB40" s="674"/>
      <c r="BC40" s="674"/>
      <c r="BD40" s="674"/>
      <c r="BE40" s="674"/>
      <c r="BF40" s="674"/>
      <c r="BG40" s="674"/>
      <c r="BH40" s="674"/>
      <c r="BI40" s="674"/>
      <c r="BJ40" s="674"/>
      <c r="BK40" s="674"/>
      <c r="BL40" s="674"/>
      <c r="BM40" s="674"/>
      <c r="BN40" s="674"/>
      <c r="BO40" s="674"/>
      <c r="BP40" s="674"/>
      <c r="BQ40" s="674"/>
      <c r="BR40" s="674"/>
      <c r="BS40" s="674"/>
      <c r="BT40" s="674"/>
      <c r="BU40" s="674"/>
      <c r="BV40" s="674"/>
      <c r="BW40" s="674"/>
    </row>
    <row r="41" spans="1:76" s="672" customFormat="1" ht="7.5" customHeight="1" x14ac:dyDescent="0.2">
      <c r="A41" s="632"/>
      <c r="B41" s="632"/>
      <c r="C41" s="680"/>
      <c r="D41" s="681"/>
      <c r="E41" s="643"/>
      <c r="F41" s="682"/>
      <c r="G41" s="682"/>
      <c r="H41" s="682"/>
      <c r="I41" s="682"/>
      <c r="J41" s="30"/>
      <c r="K41" s="30"/>
      <c r="L41" s="30"/>
      <c r="M41" s="30"/>
      <c r="N41" s="30"/>
      <c r="O41" s="30"/>
      <c r="P41" s="30"/>
      <c r="Q41" s="682"/>
      <c r="R41" s="682"/>
      <c r="S41" s="674"/>
      <c r="T41" s="674"/>
      <c r="U41" s="674"/>
      <c r="V41" s="674"/>
      <c r="W41" s="674"/>
      <c r="X41" s="674"/>
      <c r="Y41" s="674"/>
      <c r="Z41" s="674"/>
      <c r="AA41" s="674"/>
      <c r="AB41" s="674"/>
      <c r="AC41" s="674"/>
      <c r="AD41" s="674"/>
      <c r="AE41" s="674"/>
      <c r="AF41" s="674"/>
      <c r="AG41" s="674"/>
      <c r="AH41" s="674"/>
      <c r="AI41" s="674"/>
      <c r="AJ41" s="674"/>
      <c r="AK41" s="674"/>
      <c r="AL41" s="674"/>
      <c r="AM41" s="674"/>
      <c r="AN41" s="674"/>
      <c r="AO41" s="674"/>
      <c r="AP41" s="674"/>
      <c r="AQ41" s="674"/>
      <c r="AR41" s="674"/>
      <c r="AS41" s="674"/>
      <c r="AT41" s="674"/>
      <c r="AU41" s="674"/>
      <c r="AV41" s="674"/>
      <c r="AW41" s="674"/>
      <c r="AX41" s="674"/>
      <c r="AY41" s="674"/>
      <c r="AZ41" s="674"/>
      <c r="BA41" s="674"/>
      <c r="BB41" s="674"/>
      <c r="BC41" s="674"/>
      <c r="BD41" s="674"/>
      <c r="BE41" s="674"/>
      <c r="BF41" s="674"/>
      <c r="BG41" s="674"/>
      <c r="BH41" s="674"/>
      <c r="BI41" s="674"/>
      <c r="BJ41" s="674"/>
      <c r="BK41" s="674"/>
      <c r="BL41" s="674"/>
      <c r="BM41" s="674"/>
      <c r="BN41" s="674"/>
      <c r="BO41" s="674"/>
      <c r="BP41" s="674"/>
      <c r="BQ41" s="674"/>
      <c r="BR41" s="674"/>
      <c r="BS41" s="674"/>
      <c r="BT41" s="674"/>
      <c r="BU41" s="674"/>
      <c r="BV41" s="674"/>
      <c r="BW41" s="674"/>
    </row>
    <row r="42" spans="1:76" s="672" customFormat="1" ht="12" x14ac:dyDescent="0.2">
      <c r="A42" s="683" t="s">
        <v>526</v>
      </c>
      <c r="B42" s="684"/>
      <c r="C42" s="685"/>
      <c r="D42" s="686"/>
      <c r="E42" s="667"/>
      <c r="F42" s="687">
        <v>192.2</v>
      </c>
      <c r="G42" s="687">
        <v>364.7</v>
      </c>
      <c r="H42" s="687">
        <v>272.10000000000002</v>
      </c>
      <c r="I42" s="687">
        <v>527.1</v>
      </c>
      <c r="J42" s="736">
        <v>353.5</v>
      </c>
      <c r="K42" s="736">
        <v>661.1</v>
      </c>
      <c r="L42" s="736">
        <v>389.7</v>
      </c>
      <c r="M42" s="736">
        <v>387</v>
      </c>
      <c r="N42" s="736">
        <v>654.20000000000005</v>
      </c>
      <c r="O42" s="736">
        <v>783.1</v>
      </c>
      <c r="P42" s="736">
        <v>741.9</v>
      </c>
      <c r="Q42" s="687">
        <v>816.8</v>
      </c>
      <c r="R42" s="687">
        <v>910</v>
      </c>
      <c r="S42" s="674"/>
      <c r="T42" s="674"/>
      <c r="U42" s="674"/>
      <c r="V42" s="674"/>
      <c r="W42" s="674"/>
      <c r="X42" s="674"/>
      <c r="Y42" s="674"/>
      <c r="Z42" s="674"/>
      <c r="AA42" s="674"/>
      <c r="AB42" s="674"/>
      <c r="AC42" s="674"/>
      <c r="AD42" s="674"/>
      <c r="AE42" s="674"/>
      <c r="AF42" s="674"/>
      <c r="AG42" s="674"/>
      <c r="AH42" s="674"/>
      <c r="AI42" s="674"/>
      <c r="AJ42" s="674"/>
      <c r="AK42" s="674"/>
      <c r="AL42" s="674"/>
      <c r="AM42" s="674"/>
      <c r="AN42" s="674"/>
      <c r="AO42" s="674"/>
      <c r="AP42" s="674"/>
      <c r="AQ42" s="674"/>
      <c r="AR42" s="674"/>
      <c r="AS42" s="674"/>
      <c r="AT42" s="674"/>
      <c r="AU42" s="674"/>
      <c r="AV42" s="674"/>
      <c r="AW42" s="674"/>
      <c r="AX42" s="674"/>
      <c r="AY42" s="674"/>
      <c r="AZ42" s="674"/>
      <c r="BA42" s="674"/>
      <c r="BB42" s="674"/>
      <c r="BC42" s="674"/>
      <c r="BD42" s="674"/>
      <c r="BE42" s="674"/>
      <c r="BF42" s="674"/>
      <c r="BG42" s="674"/>
      <c r="BH42" s="674"/>
      <c r="BI42" s="674"/>
      <c r="BJ42" s="674"/>
      <c r="BK42" s="674"/>
      <c r="BL42" s="674"/>
      <c r="BM42" s="674"/>
      <c r="BN42" s="674"/>
      <c r="BO42" s="674"/>
      <c r="BP42" s="674"/>
      <c r="BQ42" s="674"/>
      <c r="BR42" s="674"/>
      <c r="BS42" s="674"/>
      <c r="BT42" s="674"/>
      <c r="BU42" s="674"/>
      <c r="BV42" s="674"/>
      <c r="BW42" s="674"/>
    </row>
    <row r="43" spans="1:76" s="667" customFormat="1" ht="12.75" customHeight="1" x14ac:dyDescent="0.2">
      <c r="A43" s="688"/>
      <c r="B43" s="689"/>
      <c r="C43" s="690"/>
      <c r="D43" s="690"/>
      <c r="E43" s="691"/>
      <c r="F43" s="692"/>
      <c r="G43" s="692"/>
      <c r="H43" s="692"/>
      <c r="I43" s="692"/>
      <c r="J43" s="737"/>
      <c r="K43" s="737"/>
      <c r="L43" s="737"/>
      <c r="M43" s="737"/>
      <c r="N43" s="737"/>
      <c r="O43" s="737"/>
      <c r="P43" s="737"/>
      <c r="Q43" s="692"/>
      <c r="R43" s="692"/>
      <c r="S43" s="669"/>
      <c r="T43" s="669"/>
      <c r="U43" s="669"/>
      <c r="V43" s="669"/>
      <c r="W43" s="669"/>
      <c r="X43" s="669"/>
      <c r="Y43" s="669"/>
      <c r="Z43" s="669"/>
      <c r="AA43" s="669"/>
      <c r="AB43" s="669"/>
      <c r="AC43" s="669"/>
      <c r="AD43" s="669"/>
      <c r="AE43" s="669"/>
      <c r="AF43" s="669"/>
      <c r="AG43" s="669"/>
      <c r="AH43" s="669"/>
      <c r="AI43" s="669"/>
      <c r="AJ43" s="669"/>
      <c r="AK43" s="669"/>
      <c r="AL43" s="669"/>
      <c r="AM43" s="669"/>
      <c r="AN43" s="669"/>
      <c r="AO43" s="669"/>
      <c r="AP43" s="669"/>
      <c r="AQ43" s="669"/>
      <c r="AR43" s="669"/>
      <c r="AS43" s="669"/>
      <c r="AT43" s="669"/>
      <c r="AU43" s="669"/>
      <c r="AV43" s="669"/>
      <c r="AW43" s="669"/>
      <c r="AX43" s="669"/>
      <c r="AY43" s="669"/>
      <c r="AZ43" s="669"/>
      <c r="BA43" s="669"/>
      <c r="BB43" s="669"/>
      <c r="BC43" s="669"/>
      <c r="BD43" s="669"/>
      <c r="BE43" s="669"/>
      <c r="BF43" s="669"/>
      <c r="BG43" s="669"/>
      <c r="BH43" s="669"/>
      <c r="BI43" s="669"/>
      <c r="BJ43" s="669"/>
      <c r="BK43" s="669"/>
      <c r="BL43" s="669"/>
      <c r="BM43" s="669"/>
      <c r="BN43" s="669"/>
      <c r="BO43" s="669"/>
      <c r="BP43" s="669"/>
      <c r="BQ43" s="669"/>
      <c r="BR43" s="669"/>
      <c r="BS43" s="669"/>
      <c r="BT43" s="669"/>
      <c r="BU43" s="669"/>
      <c r="BV43" s="669"/>
      <c r="BW43" s="669"/>
    </row>
    <row r="44" spans="1:76" s="672" customFormat="1" ht="7.5" customHeight="1" x14ac:dyDescent="0.2">
      <c r="A44" s="693"/>
      <c r="B44" s="694"/>
      <c r="C44" s="695"/>
      <c r="D44" s="695"/>
      <c r="E44" s="645"/>
      <c r="F44" s="696"/>
      <c r="G44" s="696"/>
      <c r="H44" s="696"/>
      <c r="I44" s="696"/>
      <c r="J44" s="738"/>
      <c r="K44" s="738"/>
      <c r="L44" s="738"/>
      <c r="M44" s="738"/>
      <c r="N44" s="738"/>
      <c r="O44" s="738"/>
      <c r="P44" s="738"/>
      <c r="Q44" s="696"/>
      <c r="R44" s="696"/>
      <c r="S44" s="674"/>
      <c r="T44" s="674"/>
      <c r="U44" s="674"/>
      <c r="V44" s="674"/>
      <c r="W44" s="674"/>
      <c r="X44" s="674"/>
      <c r="Y44" s="674"/>
      <c r="Z44" s="674"/>
      <c r="AA44" s="674"/>
      <c r="AB44" s="674"/>
      <c r="AC44" s="674"/>
      <c r="AD44" s="674"/>
      <c r="AE44" s="674"/>
      <c r="AF44" s="674"/>
      <c r="AG44" s="674"/>
      <c r="AH44" s="674"/>
      <c r="AI44" s="674"/>
      <c r="AJ44" s="674"/>
      <c r="AK44" s="674"/>
      <c r="AL44" s="674"/>
      <c r="AM44" s="674"/>
      <c r="AN44" s="674"/>
      <c r="AO44" s="674"/>
      <c r="AP44" s="674"/>
      <c r="AQ44" s="674"/>
      <c r="AR44" s="674"/>
      <c r="AS44" s="674"/>
      <c r="AT44" s="674"/>
      <c r="AU44" s="674"/>
      <c r="AV44" s="674"/>
      <c r="AW44" s="674"/>
      <c r="AX44" s="674"/>
      <c r="AY44" s="674"/>
      <c r="AZ44" s="674"/>
      <c r="BA44" s="674"/>
      <c r="BB44" s="674"/>
      <c r="BC44" s="674"/>
      <c r="BD44" s="674"/>
      <c r="BE44" s="674"/>
      <c r="BF44" s="674"/>
      <c r="BG44" s="674"/>
      <c r="BH44" s="674"/>
      <c r="BI44" s="674"/>
      <c r="BJ44" s="674"/>
      <c r="BK44" s="674"/>
      <c r="BL44" s="674"/>
      <c r="BM44" s="674"/>
      <c r="BN44" s="674"/>
      <c r="BO44" s="674"/>
      <c r="BP44" s="674"/>
      <c r="BQ44" s="674"/>
      <c r="BR44" s="674"/>
      <c r="BS44" s="674"/>
      <c r="BT44" s="674"/>
      <c r="BU44" s="674"/>
      <c r="BV44" s="674"/>
      <c r="BW44" s="674"/>
    </row>
    <row r="45" spans="1:76" ht="6" customHeight="1" x14ac:dyDescent="0.2">
      <c r="A45" s="697" t="s">
        <v>611</v>
      </c>
      <c r="B45" s="697"/>
      <c r="C45" s="698"/>
      <c r="D45" s="685"/>
      <c r="E45" s="699"/>
      <c r="F45" s="696"/>
      <c r="G45" s="696"/>
      <c r="H45" s="696"/>
      <c r="I45" s="696"/>
      <c r="J45" s="738"/>
      <c r="K45" s="738"/>
      <c r="L45" s="738"/>
      <c r="M45" s="738"/>
      <c r="N45" s="738"/>
      <c r="O45" s="738"/>
      <c r="P45" s="738"/>
      <c r="Q45" s="696"/>
      <c r="R45" s="696"/>
      <c r="BX45" s="630"/>
    </row>
    <row r="46" spans="1:76" s="667" customFormat="1" ht="12.75" customHeight="1" x14ac:dyDescent="0.2">
      <c r="A46" s="700" t="s">
        <v>526</v>
      </c>
      <c r="B46" s="700"/>
      <c r="C46" s="684"/>
      <c r="D46" s="686"/>
      <c r="F46" s="687">
        <v>192.2</v>
      </c>
      <c r="G46" s="687">
        <v>182.3</v>
      </c>
      <c r="H46" s="687">
        <v>272.10000000000002</v>
      </c>
      <c r="I46" s="687">
        <v>263.5</v>
      </c>
      <c r="J46" s="739">
        <v>353.5</v>
      </c>
      <c r="K46" s="739">
        <v>330.5</v>
      </c>
      <c r="L46" s="739">
        <v>194.8</v>
      </c>
      <c r="M46" s="739">
        <v>113</v>
      </c>
      <c r="N46" s="739">
        <v>218.1</v>
      </c>
      <c r="O46" s="739">
        <v>195.8</v>
      </c>
      <c r="P46" s="739">
        <v>140.69999999999999</v>
      </c>
      <c r="Q46" s="687">
        <v>239.4</v>
      </c>
      <c r="R46" s="687">
        <v>181.8</v>
      </c>
      <c r="S46" s="669"/>
      <c r="T46" s="669"/>
      <c r="U46" s="669"/>
      <c r="V46" s="669"/>
      <c r="W46" s="669"/>
      <c r="X46" s="669"/>
      <c r="Y46" s="669"/>
      <c r="Z46" s="669"/>
      <c r="AA46" s="669"/>
      <c r="AB46" s="669"/>
      <c r="AC46" s="669"/>
      <c r="AD46" s="669"/>
      <c r="AE46" s="669"/>
      <c r="AF46" s="669"/>
      <c r="AG46" s="669"/>
      <c r="AH46" s="669"/>
      <c r="AI46" s="669"/>
      <c r="AJ46" s="669"/>
      <c r="AK46" s="669"/>
      <c r="AL46" s="669"/>
      <c r="AM46" s="669"/>
      <c r="AN46" s="669"/>
      <c r="AO46" s="669"/>
      <c r="AP46" s="669"/>
      <c r="AQ46" s="669"/>
      <c r="AR46" s="669"/>
      <c r="AS46" s="669"/>
      <c r="AT46" s="669"/>
      <c r="AU46" s="669"/>
      <c r="AV46" s="669"/>
      <c r="AW46" s="669"/>
      <c r="AX46" s="669"/>
      <c r="AY46" s="669"/>
      <c r="AZ46" s="669"/>
      <c r="BA46" s="669"/>
      <c r="BB46" s="669"/>
      <c r="BC46" s="669"/>
      <c r="BD46" s="669"/>
      <c r="BE46" s="669"/>
      <c r="BF46" s="669"/>
      <c r="BG46" s="669"/>
      <c r="BH46" s="669"/>
      <c r="BI46" s="669"/>
      <c r="BJ46" s="669"/>
      <c r="BK46" s="669"/>
      <c r="BL46" s="669"/>
      <c r="BM46" s="669"/>
      <c r="BN46" s="669"/>
      <c r="BO46" s="669"/>
      <c r="BP46" s="669"/>
      <c r="BQ46" s="669"/>
      <c r="BR46" s="669"/>
      <c r="BS46" s="669"/>
      <c r="BT46" s="669"/>
      <c r="BU46" s="669"/>
      <c r="BV46" s="669"/>
      <c r="BW46" s="669"/>
    </row>
    <row r="47" spans="1:76" s="645" customFormat="1" ht="7.5" customHeight="1" x14ac:dyDescent="0.2">
      <c r="A47" s="678"/>
      <c r="B47" s="678"/>
      <c r="C47" s="701"/>
      <c r="D47" s="679"/>
      <c r="E47" s="691"/>
      <c r="F47" s="702"/>
      <c r="G47" s="702"/>
      <c r="H47" s="702"/>
      <c r="I47" s="702"/>
      <c r="J47" s="740"/>
      <c r="K47" s="740"/>
      <c r="L47" s="740"/>
      <c r="M47" s="741"/>
      <c r="N47" s="741"/>
      <c r="O47" s="740"/>
      <c r="P47" s="740"/>
      <c r="Q47" s="702"/>
      <c r="R47" s="702"/>
      <c r="S47" s="629"/>
      <c r="T47" s="629"/>
      <c r="U47" s="629"/>
      <c r="V47" s="629"/>
      <c r="W47" s="629"/>
      <c r="X47" s="629"/>
      <c r="Y47" s="629"/>
      <c r="Z47" s="629"/>
      <c r="AA47" s="629"/>
      <c r="AB47" s="629"/>
      <c r="AC47" s="629"/>
      <c r="AD47" s="629"/>
      <c r="AE47" s="629"/>
      <c r="AF47" s="629"/>
      <c r="AG47" s="629"/>
      <c r="AH47" s="629"/>
      <c r="AI47" s="629"/>
      <c r="AJ47" s="629"/>
      <c r="AK47" s="629"/>
      <c r="AL47" s="629"/>
      <c r="AM47" s="629"/>
      <c r="AN47" s="629"/>
      <c r="AO47" s="629"/>
      <c r="AP47" s="629"/>
      <c r="AQ47" s="629"/>
      <c r="AR47" s="629"/>
      <c r="AS47" s="629"/>
      <c r="AT47" s="629"/>
      <c r="AU47" s="629"/>
      <c r="AV47" s="629"/>
      <c r="AW47" s="629"/>
      <c r="AX47" s="629"/>
      <c r="AY47" s="629"/>
      <c r="AZ47" s="629"/>
      <c r="BA47" s="629"/>
      <c r="BB47" s="629"/>
      <c r="BC47" s="629"/>
      <c r="BD47" s="629"/>
      <c r="BE47" s="629"/>
      <c r="BF47" s="629"/>
      <c r="BG47" s="629"/>
      <c r="BH47" s="629"/>
      <c r="BI47" s="629"/>
      <c r="BJ47" s="629"/>
      <c r="BK47" s="629"/>
      <c r="BL47" s="629"/>
      <c r="BM47" s="629"/>
      <c r="BN47" s="629"/>
      <c r="BO47" s="629"/>
      <c r="BP47" s="629"/>
      <c r="BQ47" s="629"/>
      <c r="BR47" s="629"/>
      <c r="BS47" s="629"/>
      <c r="BT47" s="629"/>
      <c r="BU47" s="629"/>
      <c r="BV47" s="629"/>
      <c r="BW47" s="629"/>
    </row>
    <row r="48" spans="1:76" s="645" customFormat="1" ht="6" customHeight="1" x14ac:dyDescent="0.2">
      <c r="A48" s="632"/>
      <c r="B48" s="632"/>
      <c r="C48" s="703"/>
      <c r="D48" s="646"/>
      <c r="E48" s="646"/>
      <c r="F48" s="646"/>
      <c r="G48" s="646"/>
      <c r="H48" s="646"/>
      <c r="I48" s="646"/>
      <c r="J48" s="646"/>
      <c r="K48" s="646"/>
      <c r="L48" s="646"/>
      <c r="M48" s="646"/>
      <c r="N48" s="646"/>
      <c r="O48" s="646"/>
      <c r="P48" s="646"/>
      <c r="Q48" s="646"/>
      <c r="R48" s="646"/>
      <c r="S48" s="629"/>
      <c r="T48" s="629"/>
      <c r="U48" s="629"/>
      <c r="V48" s="629"/>
      <c r="W48" s="629"/>
      <c r="X48" s="629"/>
      <c r="Y48" s="629"/>
      <c r="Z48" s="629"/>
      <c r="AA48" s="629"/>
      <c r="AB48" s="629"/>
      <c r="AC48" s="629"/>
      <c r="AD48" s="629"/>
      <c r="AE48" s="629"/>
      <c r="AF48" s="629"/>
      <c r="AG48" s="629"/>
      <c r="AH48" s="629"/>
      <c r="AI48" s="629"/>
      <c r="AJ48" s="629"/>
      <c r="AK48" s="629"/>
      <c r="AL48" s="629"/>
      <c r="AM48" s="629"/>
      <c r="AN48" s="629"/>
      <c r="AO48" s="629"/>
      <c r="AP48" s="629"/>
      <c r="AQ48" s="629"/>
      <c r="AR48" s="629"/>
      <c r="AS48" s="629"/>
      <c r="AT48" s="629"/>
      <c r="AU48" s="629"/>
      <c r="AV48" s="629"/>
      <c r="AW48" s="629"/>
      <c r="AX48" s="629"/>
      <c r="AY48" s="629"/>
      <c r="AZ48" s="629"/>
      <c r="BA48" s="629"/>
      <c r="BB48" s="629"/>
      <c r="BC48" s="629"/>
      <c r="BD48" s="629"/>
      <c r="BE48" s="629"/>
      <c r="BF48" s="629"/>
      <c r="BG48" s="629"/>
      <c r="BH48" s="629"/>
      <c r="BI48" s="629"/>
      <c r="BJ48" s="629"/>
      <c r="BK48" s="629"/>
      <c r="BL48" s="629"/>
      <c r="BM48" s="629"/>
      <c r="BN48" s="629"/>
      <c r="BO48" s="629"/>
      <c r="BP48" s="629"/>
      <c r="BQ48" s="629"/>
      <c r="BR48" s="629"/>
      <c r="BS48" s="629"/>
      <c r="BT48" s="629"/>
      <c r="BU48" s="629"/>
      <c r="BV48" s="629"/>
      <c r="BW48" s="629"/>
    </row>
    <row r="49" spans="1:76" s="699" customFormat="1" ht="12.75" customHeight="1" x14ac:dyDescent="0.2">
      <c r="A49" s="704" t="s">
        <v>612</v>
      </c>
      <c r="B49" s="646"/>
      <c r="C49" s="705"/>
      <c r="D49" s="646"/>
      <c r="E49" s="706"/>
      <c r="F49" s="706"/>
      <c r="G49" s="706"/>
      <c r="H49" s="706"/>
      <c r="I49" s="706"/>
      <c r="J49" s="706"/>
      <c r="K49" s="629"/>
      <c r="L49" s="706"/>
      <c r="M49" s="706"/>
      <c r="N49" s="706"/>
      <c r="O49" s="706"/>
      <c r="P49" s="706"/>
      <c r="Q49" s="706"/>
      <c r="R49" s="706"/>
      <c r="S49" s="629"/>
      <c r="T49" s="629"/>
      <c r="U49" s="629"/>
      <c r="V49" s="629"/>
      <c r="W49" s="629"/>
      <c r="X49" s="629"/>
      <c r="Y49" s="629"/>
      <c r="Z49" s="629"/>
      <c r="AA49" s="629"/>
      <c r="AB49" s="629"/>
      <c r="AC49" s="629"/>
      <c r="AD49" s="629"/>
      <c r="AE49" s="629"/>
      <c r="AF49" s="629"/>
      <c r="AG49" s="629"/>
      <c r="AH49" s="629"/>
      <c r="AI49" s="629"/>
      <c r="AJ49" s="629"/>
      <c r="AK49" s="629"/>
      <c r="AL49" s="629"/>
      <c r="AM49" s="629"/>
      <c r="AN49" s="629"/>
      <c r="AO49" s="629"/>
      <c r="AP49" s="629"/>
      <c r="AQ49" s="629"/>
      <c r="AR49" s="629"/>
      <c r="AS49" s="629"/>
      <c r="AT49" s="629"/>
      <c r="AU49" s="629"/>
      <c r="AV49" s="629"/>
      <c r="AW49" s="629"/>
      <c r="AX49" s="629"/>
      <c r="AY49" s="629"/>
      <c r="AZ49" s="629"/>
      <c r="BA49" s="629"/>
      <c r="BB49" s="629"/>
      <c r="BC49" s="629"/>
      <c r="BD49" s="629"/>
      <c r="BE49" s="629"/>
      <c r="BF49" s="629"/>
      <c r="BG49" s="629"/>
      <c r="BH49" s="629"/>
      <c r="BI49" s="629"/>
      <c r="BJ49" s="629"/>
      <c r="BK49" s="629"/>
      <c r="BL49" s="629"/>
      <c r="BM49" s="629"/>
      <c r="BN49" s="629"/>
      <c r="BO49" s="629"/>
      <c r="BP49" s="629"/>
      <c r="BQ49" s="629"/>
      <c r="BR49" s="629"/>
      <c r="BS49" s="629"/>
      <c r="BT49" s="629"/>
      <c r="BU49" s="629"/>
      <c r="BV49" s="629"/>
      <c r="BW49" s="629"/>
    </row>
    <row r="50" spans="1:76" s="667" customFormat="1" ht="12.75" customHeight="1" x14ac:dyDescent="0.2">
      <c r="A50" s="637" t="s">
        <v>613</v>
      </c>
      <c r="B50" s="707"/>
      <c r="C50" s="708"/>
      <c r="D50" s="708"/>
      <c r="E50" s="709"/>
      <c r="F50" s="709"/>
      <c r="G50" s="709"/>
      <c r="H50" s="709"/>
      <c r="I50" s="709"/>
      <c r="J50" s="709"/>
      <c r="K50" s="629"/>
      <c r="L50" s="709"/>
      <c r="M50" s="709"/>
      <c r="N50" s="709"/>
      <c r="O50" s="709"/>
      <c r="P50" s="709"/>
      <c r="Q50" s="709"/>
      <c r="R50" s="709"/>
      <c r="S50" s="669"/>
      <c r="T50" s="669"/>
      <c r="U50" s="669"/>
      <c r="V50" s="669"/>
      <c r="W50" s="669"/>
      <c r="X50" s="669"/>
      <c r="Y50" s="669"/>
      <c r="Z50" s="669"/>
      <c r="AA50" s="669"/>
      <c r="AB50" s="669"/>
      <c r="AC50" s="669"/>
      <c r="AD50" s="669"/>
      <c r="AE50" s="669"/>
      <c r="AF50" s="669"/>
      <c r="AG50" s="669"/>
      <c r="AH50" s="669"/>
      <c r="AI50" s="669"/>
      <c r="AJ50" s="669"/>
      <c r="AK50" s="669"/>
      <c r="AL50" s="669"/>
      <c r="AM50" s="669"/>
      <c r="AN50" s="669"/>
      <c r="AO50" s="669"/>
      <c r="AP50" s="669"/>
      <c r="AQ50" s="669"/>
      <c r="AR50" s="669"/>
      <c r="AS50" s="669"/>
      <c r="AT50" s="669"/>
      <c r="AU50" s="669"/>
      <c r="AV50" s="669"/>
      <c r="AW50" s="669"/>
      <c r="AX50" s="669"/>
      <c r="AY50" s="669"/>
      <c r="AZ50" s="669"/>
      <c r="BA50" s="669"/>
      <c r="BB50" s="669"/>
      <c r="BC50" s="669"/>
      <c r="BD50" s="669"/>
      <c r="BE50" s="669"/>
      <c r="BF50" s="669"/>
      <c r="BG50" s="669"/>
      <c r="BH50" s="669"/>
      <c r="BI50" s="669"/>
      <c r="BJ50" s="669"/>
      <c r="BK50" s="669"/>
      <c r="BL50" s="669"/>
      <c r="BM50" s="669"/>
      <c r="BN50" s="669"/>
      <c r="BO50" s="669"/>
      <c r="BP50" s="669"/>
      <c r="BQ50" s="669"/>
      <c r="BR50" s="669"/>
      <c r="BS50" s="669"/>
      <c r="BT50" s="669"/>
      <c r="BU50" s="669"/>
      <c r="BV50" s="669"/>
      <c r="BW50" s="669"/>
    </row>
    <row r="51" spans="1:76" s="645" customFormat="1" ht="6" customHeight="1" x14ac:dyDescent="0.2">
      <c r="A51" s="630" t="s">
        <v>646</v>
      </c>
      <c r="B51" s="707"/>
      <c r="C51" s="708"/>
      <c r="D51" s="708"/>
      <c r="E51" s="709"/>
      <c r="F51" s="709"/>
      <c r="G51" s="709"/>
      <c r="H51" s="709"/>
      <c r="I51" s="709"/>
      <c r="J51" s="709"/>
      <c r="K51" s="629"/>
      <c r="L51" s="709"/>
      <c r="M51" s="709"/>
      <c r="N51" s="709"/>
      <c r="O51" s="709"/>
      <c r="P51" s="709"/>
      <c r="Q51" s="709"/>
      <c r="R51" s="710"/>
      <c r="S51" s="629"/>
      <c r="T51" s="629"/>
      <c r="U51" s="629"/>
      <c r="V51" s="629"/>
      <c r="W51" s="629"/>
      <c r="X51" s="629"/>
      <c r="Y51" s="629"/>
      <c r="Z51" s="629"/>
      <c r="AA51" s="629"/>
      <c r="AB51" s="629"/>
      <c r="AC51" s="629"/>
      <c r="AD51" s="629"/>
      <c r="AE51" s="629"/>
      <c r="AF51" s="629"/>
      <c r="AG51" s="629"/>
      <c r="AH51" s="629"/>
      <c r="AI51" s="629"/>
      <c r="AJ51" s="629"/>
      <c r="AK51" s="629"/>
      <c r="AL51" s="629"/>
      <c r="AM51" s="629"/>
      <c r="AN51" s="629"/>
      <c r="AO51" s="629"/>
      <c r="AP51" s="629"/>
      <c r="AQ51" s="629"/>
      <c r="AR51" s="629"/>
      <c r="AS51" s="629"/>
      <c r="AT51" s="629"/>
      <c r="AU51" s="629"/>
      <c r="AV51" s="629"/>
      <c r="AW51" s="629"/>
      <c r="AX51" s="629"/>
      <c r="AY51" s="629"/>
      <c r="AZ51" s="629"/>
      <c r="BA51" s="629"/>
      <c r="BB51" s="629"/>
      <c r="BC51" s="629"/>
      <c r="BD51" s="629"/>
      <c r="BE51" s="629"/>
      <c r="BF51" s="629"/>
      <c r="BG51" s="629"/>
      <c r="BH51" s="629"/>
      <c r="BI51" s="629"/>
      <c r="BJ51" s="629"/>
      <c r="BK51" s="629"/>
      <c r="BL51" s="629"/>
      <c r="BM51" s="629"/>
      <c r="BN51" s="629"/>
      <c r="BO51" s="629"/>
      <c r="BP51" s="629"/>
      <c r="BQ51" s="629"/>
      <c r="BR51" s="629"/>
      <c r="BS51" s="629"/>
      <c r="BT51" s="629"/>
      <c r="BU51" s="629"/>
      <c r="BV51" s="629"/>
      <c r="BW51" s="629"/>
    </row>
    <row r="52" spans="1:76" s="646" customFormat="1" ht="6" customHeight="1" x14ac:dyDescent="0.2">
      <c r="A52" s="637" t="s">
        <v>642</v>
      </c>
      <c r="B52" s="711"/>
      <c r="C52" s="708"/>
      <c r="D52" s="708"/>
      <c r="E52" s="709"/>
      <c r="F52" s="709"/>
      <c r="G52" s="709"/>
      <c r="H52" s="709"/>
      <c r="I52" s="709"/>
      <c r="J52" s="709"/>
      <c r="K52" s="629"/>
      <c r="L52" s="709"/>
      <c r="M52" s="709"/>
      <c r="N52" s="709"/>
      <c r="O52" s="709"/>
      <c r="P52" s="709"/>
      <c r="Q52" s="709"/>
    </row>
    <row r="53" spans="1:76" s="646" customFormat="1" ht="12" customHeight="1" x14ac:dyDescent="0.2">
      <c r="A53" s="637"/>
      <c r="B53" s="637"/>
      <c r="C53" s="712"/>
      <c r="D53" s="712"/>
      <c r="E53" s="643"/>
      <c r="F53" s="643"/>
      <c r="G53" s="643"/>
      <c r="H53" s="643"/>
      <c r="I53" s="643"/>
      <c r="J53" s="643"/>
      <c r="K53" s="629"/>
      <c r="L53" s="629"/>
      <c r="M53" s="629"/>
      <c r="N53" s="629"/>
      <c r="O53" s="629"/>
      <c r="P53" s="629"/>
      <c r="Q53" s="629"/>
      <c r="R53" s="629"/>
      <c r="S53" s="629"/>
      <c r="T53" s="629"/>
      <c r="U53" s="629"/>
      <c r="V53" s="629"/>
      <c r="W53" s="629"/>
      <c r="X53" s="629"/>
      <c r="Y53" s="629"/>
      <c r="Z53" s="629"/>
      <c r="AA53" s="629"/>
      <c r="AB53" s="629"/>
      <c r="AC53" s="629"/>
      <c r="AD53" s="629"/>
      <c r="AE53" s="629"/>
      <c r="AF53" s="629"/>
      <c r="AG53" s="629"/>
      <c r="AH53" s="629"/>
      <c r="AI53" s="629"/>
      <c r="AJ53" s="629"/>
      <c r="AK53" s="629"/>
      <c r="AL53" s="629"/>
      <c r="AM53" s="629"/>
      <c r="AN53" s="629"/>
      <c r="AO53" s="629"/>
      <c r="AP53" s="629"/>
      <c r="AQ53" s="629"/>
      <c r="AR53" s="629"/>
      <c r="AS53" s="629"/>
      <c r="AT53" s="629"/>
      <c r="AU53" s="629"/>
      <c r="AV53" s="629"/>
      <c r="AW53" s="629"/>
      <c r="AX53" s="629"/>
      <c r="AY53" s="629"/>
      <c r="AZ53" s="629"/>
      <c r="BA53" s="629"/>
      <c r="BB53" s="629"/>
      <c r="BC53" s="629"/>
      <c r="BD53" s="629"/>
      <c r="BE53" s="629"/>
      <c r="BF53" s="629"/>
      <c r="BG53" s="629"/>
      <c r="BH53" s="629"/>
      <c r="BI53" s="629"/>
      <c r="BJ53" s="629"/>
      <c r="BK53" s="629"/>
      <c r="BL53" s="629"/>
      <c r="BM53" s="629"/>
      <c r="BN53" s="629"/>
      <c r="BO53" s="629"/>
      <c r="BP53" s="629"/>
      <c r="BQ53" s="629"/>
      <c r="BR53" s="629"/>
      <c r="BS53" s="629"/>
      <c r="BT53" s="629"/>
      <c r="BU53" s="629"/>
      <c r="BV53" s="629"/>
      <c r="BW53" s="629"/>
    </row>
    <row r="54" spans="1:76" s="629" customFormat="1" ht="12" customHeight="1" x14ac:dyDescent="0.2">
      <c r="B54" s="646"/>
      <c r="C54" s="646"/>
      <c r="D54" s="646"/>
      <c r="E54" s="646"/>
      <c r="F54" s="646"/>
      <c r="G54" s="709"/>
      <c r="H54" s="709"/>
      <c r="I54" s="709"/>
      <c r="J54" s="709"/>
    </row>
    <row r="55" spans="1:76" s="629" customFormat="1" ht="12" customHeight="1" x14ac:dyDescent="0.2">
      <c r="A55" s="629" t="s">
        <v>616</v>
      </c>
      <c r="B55" s="637"/>
      <c r="C55" s="712"/>
      <c r="D55" s="712"/>
      <c r="E55" s="643"/>
      <c r="F55" s="643"/>
      <c r="G55" s="643"/>
      <c r="H55" s="643"/>
      <c r="I55" s="643"/>
      <c r="J55" s="643"/>
    </row>
    <row r="56" spans="1:76" s="646" customFormat="1" ht="12" customHeight="1" x14ac:dyDescent="0.2">
      <c r="A56" s="637"/>
      <c r="D56" s="712"/>
      <c r="E56" s="643"/>
      <c r="F56" s="643"/>
      <c r="G56" s="643"/>
      <c r="H56" s="643"/>
      <c r="I56" s="643"/>
      <c r="J56" s="643"/>
      <c r="K56" s="629"/>
      <c r="L56" s="629"/>
      <c r="M56" s="629"/>
      <c r="N56" s="629"/>
      <c r="O56" s="629"/>
      <c r="P56" s="629"/>
      <c r="Q56" s="629"/>
      <c r="R56" s="629"/>
      <c r="S56" s="629"/>
      <c r="T56" s="629"/>
      <c r="U56" s="629"/>
      <c r="V56" s="629"/>
      <c r="W56" s="629"/>
      <c r="X56" s="629"/>
      <c r="Y56" s="629"/>
      <c r="Z56" s="629"/>
      <c r="AA56" s="629"/>
      <c r="AB56" s="629"/>
      <c r="AC56" s="629"/>
      <c r="AD56" s="629"/>
      <c r="AE56" s="629"/>
      <c r="AF56" s="629"/>
      <c r="AG56" s="629"/>
      <c r="AH56" s="629"/>
      <c r="AI56" s="629"/>
      <c r="AJ56" s="629"/>
      <c r="AK56" s="629"/>
      <c r="AL56" s="629"/>
      <c r="AM56" s="629"/>
      <c r="AN56" s="629"/>
      <c r="AO56" s="629"/>
      <c r="AP56" s="629"/>
      <c r="AQ56" s="629"/>
      <c r="AR56" s="629"/>
      <c r="AS56" s="629"/>
      <c r="AT56" s="629"/>
      <c r="AU56" s="629"/>
      <c r="AV56" s="629"/>
      <c r="AW56" s="629"/>
      <c r="AX56" s="629"/>
      <c r="AY56" s="629"/>
      <c r="AZ56" s="629"/>
      <c r="BA56" s="629"/>
      <c r="BB56" s="629"/>
      <c r="BC56" s="629"/>
      <c r="BD56" s="629"/>
      <c r="BE56" s="629"/>
      <c r="BF56" s="629"/>
      <c r="BG56" s="629"/>
      <c r="BH56" s="629"/>
      <c r="BI56" s="629"/>
      <c r="BJ56" s="629"/>
      <c r="BK56" s="629"/>
      <c r="BL56" s="629"/>
      <c r="BM56" s="629"/>
      <c r="BN56" s="629"/>
      <c r="BO56" s="629"/>
      <c r="BP56" s="629"/>
      <c r="BQ56" s="629"/>
      <c r="BR56" s="629"/>
      <c r="BS56" s="629"/>
      <c r="BT56" s="629"/>
      <c r="BU56" s="629"/>
      <c r="BV56" s="629"/>
      <c r="BW56" s="629"/>
    </row>
    <row r="57" spans="1:76" ht="12.75" customHeight="1" x14ac:dyDescent="0.2"/>
    <row r="58" spans="1:76" ht="12.75" customHeight="1" x14ac:dyDescent="0.2"/>
    <row r="59" spans="1:76" s="646" customFormat="1" ht="12.75" customHeight="1" x14ac:dyDescent="0.2">
      <c r="A59" s="637"/>
      <c r="B59" s="637"/>
      <c r="C59" s="712"/>
      <c r="D59" s="712"/>
      <c r="E59" s="643"/>
      <c r="F59" s="643"/>
      <c r="G59" s="643"/>
      <c r="H59" s="643"/>
      <c r="I59" s="643"/>
      <c r="J59" s="643"/>
      <c r="K59" s="629"/>
      <c r="L59" s="629"/>
      <c r="M59" s="629"/>
      <c r="N59" s="629"/>
      <c r="O59" s="629"/>
      <c r="P59" s="629"/>
      <c r="Q59" s="629"/>
      <c r="R59" s="629"/>
      <c r="S59" s="629"/>
      <c r="T59" s="629"/>
      <c r="U59" s="629"/>
      <c r="V59" s="629"/>
      <c r="W59" s="629"/>
      <c r="X59" s="629"/>
      <c r="Y59" s="629"/>
      <c r="Z59" s="629"/>
      <c r="AA59" s="629"/>
      <c r="AB59" s="629"/>
      <c r="AC59" s="629"/>
      <c r="AD59" s="629"/>
      <c r="AE59" s="629"/>
      <c r="AF59" s="629"/>
      <c r="AG59" s="629"/>
      <c r="AH59" s="629"/>
      <c r="AI59" s="629"/>
      <c r="AJ59" s="629"/>
      <c r="AK59" s="629"/>
      <c r="AL59" s="629"/>
      <c r="AM59" s="629"/>
      <c r="AN59" s="629"/>
      <c r="AO59" s="629"/>
      <c r="AP59" s="629"/>
      <c r="AQ59" s="629"/>
      <c r="AR59" s="629"/>
      <c r="AS59" s="629"/>
      <c r="AT59" s="629"/>
      <c r="AU59" s="629"/>
      <c r="AV59" s="629"/>
      <c r="AW59" s="629"/>
      <c r="AX59" s="629"/>
      <c r="AY59" s="629"/>
      <c r="AZ59" s="629"/>
      <c r="BA59" s="629"/>
      <c r="BB59" s="629"/>
      <c r="BC59" s="629"/>
      <c r="BD59" s="629"/>
      <c r="BE59" s="629"/>
      <c r="BF59" s="629"/>
      <c r="BG59" s="629"/>
      <c r="BH59" s="629"/>
      <c r="BI59" s="629"/>
      <c r="BJ59" s="629"/>
      <c r="BK59" s="629"/>
      <c r="BL59" s="629"/>
      <c r="BM59" s="629"/>
      <c r="BN59" s="629"/>
      <c r="BO59" s="629"/>
      <c r="BP59" s="629"/>
      <c r="BQ59" s="629"/>
      <c r="BR59" s="629"/>
      <c r="BS59" s="629"/>
      <c r="BT59" s="629"/>
      <c r="BU59" s="629"/>
      <c r="BV59" s="629"/>
      <c r="BW59" s="629"/>
    </row>
    <row r="60" spans="1:76" ht="12.75" customHeight="1" x14ac:dyDescent="0.2">
      <c r="BX60" s="630"/>
    </row>
    <row r="61" spans="1:76" ht="12.75" customHeight="1" x14ac:dyDescent="0.2"/>
    <row r="62" spans="1:76" ht="12.75" customHeight="1" x14ac:dyDescent="0.2"/>
  </sheetData>
  <sheetProtection algorithmName="SHA-512" hashValue="J/E5z/ao4yoDlA71646Z7BmkA2lz/N0hsRMHJjUtrTQUN7m54N3W8vaXGzCSJy6xscnyxeAMRwvOkk8ogR8VUQ==" saltValue="ll//CEHZWktgVCvRgLC09A==" spinCount="100000" sheet="1" objects="1" scenarios="1"/>
  <mergeCells count="1">
    <mergeCell ref="G22:Q22"/>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filterMode="1">
    <pageSetUpPr fitToPage="1"/>
  </sheetPr>
  <dimension ref="A1:T879"/>
  <sheetViews>
    <sheetView topLeftCell="B120" workbookViewId="0">
      <selection activeCell="G17" sqref="G17"/>
    </sheetView>
  </sheetViews>
  <sheetFormatPr defaultRowHeight="15" outlineLevelRow="1" outlineLevelCol="1" x14ac:dyDescent="0.25"/>
  <cols>
    <col min="4" max="4" width="6.85546875" customWidth="1"/>
    <col min="5" max="6" width="5.7109375" customWidth="1"/>
    <col min="7" max="7" width="7.42578125" customWidth="1"/>
    <col min="11" max="11" width="3.5703125" style="10" customWidth="1" outlineLevel="1"/>
    <col min="12" max="12" width="40.42578125" style="456" customWidth="1" outlineLevel="1"/>
    <col min="13" max="13" width="18.28515625" style="489" customWidth="1" outlineLevel="1"/>
    <col min="14" max="14" width="9.140625" customWidth="1" outlineLevel="1"/>
    <col min="15" max="16" width="11.140625" customWidth="1" outlineLevel="1"/>
    <col min="17" max="17" width="15.85546875" customWidth="1" outlineLevel="1"/>
    <col min="18" max="18" width="53.5703125" customWidth="1" outlineLevel="1"/>
  </cols>
  <sheetData>
    <row r="1" spans="1:20" ht="35.25" x14ac:dyDescent="0.25">
      <c r="A1" s="384" t="s">
        <v>648</v>
      </c>
      <c r="B1" s="120"/>
      <c r="C1" s="126"/>
      <c r="D1" s="121"/>
      <c r="E1" s="121"/>
      <c r="F1" s="122"/>
      <c r="G1" s="123"/>
      <c r="H1" s="343"/>
      <c r="I1" s="124"/>
      <c r="J1" s="125"/>
      <c r="K1" s="126"/>
      <c r="L1" s="433"/>
      <c r="M1" s="494"/>
      <c r="N1" s="422"/>
      <c r="O1" s="422"/>
      <c r="P1" s="422"/>
    </row>
    <row r="2" spans="1:20" ht="35.25" hidden="1" x14ac:dyDescent="0.25">
      <c r="A2" s="333" t="s">
        <v>649</v>
      </c>
      <c r="B2" s="120"/>
      <c r="C2" s="126"/>
      <c r="D2" s="121"/>
      <c r="E2" s="121"/>
      <c r="F2" s="122"/>
      <c r="G2" s="123"/>
      <c r="H2" s="343"/>
      <c r="I2" s="124"/>
      <c r="J2" s="127"/>
      <c r="K2" s="126"/>
      <c r="L2" s="433"/>
      <c r="M2" s="495"/>
      <c r="N2" s="423"/>
      <c r="O2" s="423"/>
      <c r="P2" s="424"/>
      <c r="Q2" s="406"/>
      <c r="R2" s="406"/>
    </row>
    <row r="3" spans="1:20" ht="18.75" hidden="1" x14ac:dyDescent="0.25">
      <c r="A3" s="339" t="s">
        <v>643</v>
      </c>
      <c r="B3" s="336"/>
      <c r="C3" s="337"/>
      <c r="D3" s="338"/>
      <c r="E3" s="121"/>
      <c r="F3" s="122"/>
      <c r="G3" s="123"/>
      <c r="H3" s="343"/>
      <c r="I3" s="124"/>
      <c r="J3" s="127"/>
      <c r="K3" s="126"/>
      <c r="L3" s="433"/>
      <c r="M3" s="495"/>
      <c r="N3" s="423"/>
      <c r="O3" s="423"/>
      <c r="P3" s="424"/>
      <c r="Q3" s="406"/>
      <c r="R3" s="406"/>
    </row>
    <row r="4" spans="1:20" hidden="1" x14ac:dyDescent="0.25">
      <c r="A4" s="213"/>
      <c r="B4" s="169"/>
      <c r="C4" s="214"/>
      <c r="D4" s="274"/>
      <c r="E4" s="274"/>
      <c r="F4" s="274"/>
      <c r="G4" s="278"/>
      <c r="H4" s="344"/>
      <c r="I4" s="293"/>
      <c r="J4" s="300"/>
      <c r="K4" s="265"/>
      <c r="L4" s="434"/>
      <c r="M4" s="495"/>
      <c r="N4" s="423"/>
      <c r="O4" s="423"/>
      <c r="P4" s="424"/>
      <c r="Q4" s="406"/>
      <c r="R4" s="406"/>
    </row>
    <row r="5" spans="1:20" hidden="1" x14ac:dyDescent="0.25">
      <c r="A5" s="136"/>
      <c r="B5" s="136"/>
      <c r="C5" s="142"/>
      <c r="D5" s="143"/>
      <c r="E5" s="143"/>
      <c r="F5" s="144"/>
      <c r="G5" s="145" t="s">
        <v>650</v>
      </c>
      <c r="H5" s="345" t="s">
        <v>284</v>
      </c>
      <c r="I5" s="146" t="s">
        <v>651</v>
      </c>
      <c r="J5" s="147" t="s">
        <v>652</v>
      </c>
      <c r="K5" s="265"/>
      <c r="L5" s="434"/>
      <c r="M5" s="495"/>
      <c r="N5" s="423"/>
      <c r="O5" s="423"/>
      <c r="P5" s="424"/>
      <c r="Q5" s="406"/>
      <c r="R5" s="406"/>
    </row>
    <row r="6" spans="1:20" hidden="1" x14ac:dyDescent="0.25">
      <c r="A6" s="136"/>
      <c r="B6" s="136"/>
      <c r="C6" s="148"/>
      <c r="D6" s="143"/>
      <c r="E6" s="143"/>
      <c r="F6" s="144"/>
      <c r="G6" s="149" t="s">
        <v>653</v>
      </c>
      <c r="H6" s="345" t="s">
        <v>654</v>
      </c>
      <c r="I6" s="146" t="s">
        <v>655</v>
      </c>
      <c r="J6" s="147" t="s">
        <v>656</v>
      </c>
      <c r="K6" s="265"/>
      <c r="L6" s="434"/>
      <c r="M6" s="495"/>
      <c r="N6" s="423"/>
      <c r="O6" s="423"/>
      <c r="P6" s="424"/>
      <c r="Q6" s="406"/>
      <c r="R6" s="406"/>
    </row>
    <row r="7" spans="1:20" hidden="1" x14ac:dyDescent="0.25">
      <c r="A7" s="136"/>
      <c r="B7" s="136"/>
      <c r="C7" s="148"/>
      <c r="D7" s="150"/>
      <c r="E7" s="150"/>
      <c r="F7" s="144"/>
      <c r="G7" s="145" t="s">
        <v>657</v>
      </c>
      <c r="H7" s="345" t="s">
        <v>653</v>
      </c>
      <c r="I7" s="146" t="s">
        <v>658</v>
      </c>
      <c r="J7" s="151" t="s">
        <v>659</v>
      </c>
      <c r="K7" s="265"/>
      <c r="L7" s="434"/>
      <c r="M7" s="495"/>
      <c r="N7" s="423"/>
      <c r="O7" s="423"/>
      <c r="P7" s="424"/>
      <c r="Q7" s="406"/>
      <c r="R7" s="406"/>
    </row>
    <row r="8" spans="1:20" hidden="1" x14ac:dyDescent="0.25">
      <c r="A8" s="136"/>
      <c r="B8" s="136"/>
      <c r="C8" s="148"/>
      <c r="D8" s="143"/>
      <c r="E8" s="143"/>
      <c r="F8" s="144"/>
      <c r="G8" s="149" t="s">
        <v>660</v>
      </c>
      <c r="H8" s="345" t="s">
        <v>661</v>
      </c>
      <c r="I8" s="146" t="s">
        <v>662</v>
      </c>
      <c r="J8" s="152" t="s">
        <v>663</v>
      </c>
      <c r="K8" s="265"/>
      <c r="L8" s="434"/>
      <c r="N8" s="419"/>
      <c r="O8" s="419"/>
      <c r="P8" s="425"/>
      <c r="Q8" s="5"/>
      <c r="R8" s="5"/>
    </row>
    <row r="9" spans="1:20" hidden="1" x14ac:dyDescent="0.25">
      <c r="A9" s="129"/>
      <c r="B9" s="129"/>
      <c r="C9" s="130"/>
      <c r="D9" s="131"/>
      <c r="E9" s="131"/>
      <c r="F9" s="131"/>
      <c r="G9" s="153"/>
      <c r="H9" s="346"/>
      <c r="I9" s="154"/>
      <c r="J9" s="134"/>
      <c r="K9" s="468"/>
      <c r="L9" s="435"/>
      <c r="N9" s="419"/>
      <c r="O9" s="419"/>
      <c r="P9" s="425"/>
      <c r="Q9" s="5"/>
      <c r="R9" s="5"/>
    </row>
    <row r="10" spans="1:20" hidden="1" x14ac:dyDescent="0.25">
      <c r="A10" s="118"/>
      <c r="B10" s="128"/>
      <c r="C10" s="156"/>
      <c r="D10" s="157"/>
      <c r="E10" s="157"/>
      <c r="F10" s="138"/>
      <c r="G10" s="158"/>
      <c r="H10" s="258"/>
      <c r="I10" s="159"/>
      <c r="J10" s="160"/>
      <c r="K10" s="468"/>
      <c r="L10" s="435"/>
      <c r="N10" s="419"/>
      <c r="O10" s="419"/>
      <c r="P10" s="425"/>
      <c r="Q10" s="5"/>
      <c r="R10" s="5"/>
    </row>
    <row r="11" spans="1:20" hidden="1" x14ac:dyDescent="0.25">
      <c r="A11" s="88" t="s">
        <v>664</v>
      </c>
      <c r="B11" s="161"/>
      <c r="C11" s="162"/>
      <c r="D11" s="163"/>
      <c r="E11" s="163"/>
      <c r="F11" s="164"/>
      <c r="G11" s="165"/>
      <c r="H11" s="347"/>
      <c r="I11" s="166">
        <v>4920</v>
      </c>
      <c r="J11" s="167"/>
      <c r="K11" s="469"/>
      <c r="L11" s="436"/>
      <c r="N11" s="419"/>
      <c r="O11" s="419"/>
      <c r="P11" s="425"/>
      <c r="Q11" s="5"/>
      <c r="R11" s="5"/>
    </row>
    <row r="12" spans="1:20" hidden="1" x14ac:dyDescent="0.25">
      <c r="A12" s="168"/>
      <c r="B12" s="169"/>
      <c r="C12" s="168"/>
      <c r="D12" s="130"/>
      <c r="E12" s="130"/>
      <c r="F12" s="130"/>
      <c r="G12" s="132"/>
      <c r="H12" s="348"/>
      <c r="I12" s="133"/>
      <c r="J12" s="170"/>
      <c r="K12" s="470"/>
      <c r="L12" s="437"/>
      <c r="N12" s="419"/>
      <c r="O12" s="419"/>
      <c r="P12" s="425"/>
      <c r="Q12" s="5"/>
      <c r="R12" s="5"/>
    </row>
    <row r="13" spans="1:20" hidden="1" x14ac:dyDescent="0.25">
      <c r="A13" s="84"/>
      <c r="B13" s="128"/>
      <c r="C13" s="84"/>
      <c r="D13" s="135"/>
      <c r="E13" s="135"/>
      <c r="F13" s="135"/>
      <c r="G13" s="171"/>
      <c r="H13" s="349"/>
      <c r="I13" s="172"/>
      <c r="J13" s="173"/>
      <c r="K13" s="470"/>
      <c r="L13" s="437"/>
      <c r="N13" s="419"/>
      <c r="O13" s="419"/>
      <c r="P13" s="425"/>
      <c r="Q13" s="5"/>
      <c r="R13" s="5"/>
    </row>
    <row r="14" spans="1:20" hidden="1" x14ac:dyDescent="0.25">
      <c r="A14" s="174" t="s">
        <v>607</v>
      </c>
      <c r="B14" s="175"/>
      <c r="C14" s="176"/>
      <c r="D14" s="164"/>
      <c r="E14" s="164"/>
      <c r="F14" s="177" t="s">
        <v>536</v>
      </c>
      <c r="G14" s="178"/>
      <c r="H14" s="350"/>
      <c r="I14" s="179"/>
      <c r="J14" s="167"/>
      <c r="K14" s="471"/>
      <c r="L14" s="438"/>
      <c r="N14" s="419"/>
      <c r="O14" s="419"/>
      <c r="P14" s="425"/>
      <c r="Q14" s="5"/>
      <c r="R14" s="5"/>
    </row>
    <row r="15" spans="1:20" ht="60" x14ac:dyDescent="0.25">
      <c r="A15" s="174"/>
      <c r="B15" s="175"/>
      <c r="C15" s="176"/>
      <c r="D15" s="164"/>
      <c r="E15" s="164"/>
      <c r="F15" s="177"/>
      <c r="G15" s="178"/>
      <c r="H15" s="350"/>
      <c r="I15" s="179"/>
      <c r="J15" s="167"/>
      <c r="K15" s="471"/>
      <c r="L15" s="438">
        <v>1</v>
      </c>
      <c r="M15" s="496" t="s">
        <v>665</v>
      </c>
      <c r="N15" s="427" t="s">
        <v>284</v>
      </c>
      <c r="O15" s="427" t="s">
        <v>666</v>
      </c>
      <c r="P15" s="427" t="s">
        <v>667</v>
      </c>
      <c r="Q15" s="427" t="s">
        <v>668</v>
      </c>
      <c r="R15" s="427" t="s">
        <v>326</v>
      </c>
    </row>
    <row r="16" spans="1:20" ht="42" hidden="1" customHeight="1" x14ac:dyDescent="0.25">
      <c r="A16" s="155"/>
      <c r="B16" s="155"/>
      <c r="C16" s="135"/>
      <c r="D16" s="135"/>
      <c r="E16" s="135"/>
      <c r="F16" s="135"/>
      <c r="G16" s="171"/>
      <c r="H16" s="349"/>
      <c r="I16" s="172"/>
      <c r="J16" s="173"/>
      <c r="K16" s="1777" t="s">
        <v>121</v>
      </c>
      <c r="L16" s="1778"/>
      <c r="M16" s="508" t="s">
        <v>665</v>
      </c>
      <c r="N16" s="509" t="s">
        <v>284</v>
      </c>
      <c r="O16" s="509" t="s">
        <v>666</v>
      </c>
      <c r="P16" s="509" t="s">
        <v>667</v>
      </c>
      <c r="Q16" s="509" t="s">
        <v>668</v>
      </c>
      <c r="R16" s="509" t="s">
        <v>326</v>
      </c>
      <c r="T16" t="s">
        <v>669</v>
      </c>
    </row>
    <row r="17" spans="1:20" x14ac:dyDescent="0.25">
      <c r="A17" s="184" t="s">
        <v>621</v>
      </c>
      <c r="B17" s="185" t="s">
        <v>551</v>
      </c>
      <c r="C17" s="186"/>
      <c r="D17" s="187"/>
      <c r="E17" s="187"/>
      <c r="F17" s="186"/>
      <c r="G17" s="188">
        <v>56.8</v>
      </c>
      <c r="H17" s="351">
        <v>1547</v>
      </c>
      <c r="I17" s="189">
        <v>4890</v>
      </c>
      <c r="J17" s="385">
        <v>0.9</v>
      </c>
      <c r="K17" s="466">
        <v>1</v>
      </c>
      <c r="L17" s="439" t="str">
        <f>B17</f>
        <v>Food and non-alcoholic drinks</v>
      </c>
      <c r="M17" s="497">
        <v>0</v>
      </c>
      <c r="N17" s="391">
        <f>G17</f>
        <v>56.8</v>
      </c>
      <c r="O17" s="392">
        <v>0</v>
      </c>
      <c r="P17" s="392">
        <v>1</v>
      </c>
      <c r="Q17" s="417" t="s">
        <v>670</v>
      </c>
      <c r="R17" s="116"/>
      <c r="T17" s="8">
        <f>I17/$I$11</f>
        <v>0.99390243902439024</v>
      </c>
    </row>
    <row r="18" spans="1:20" hidden="1" outlineLevel="1" x14ac:dyDescent="0.25">
      <c r="A18" s="190"/>
      <c r="B18" s="128"/>
      <c r="C18" s="118"/>
      <c r="D18" s="191"/>
      <c r="E18" s="191"/>
      <c r="F18" s="135"/>
      <c r="G18" s="192"/>
      <c r="H18" s="352"/>
      <c r="I18" s="193"/>
      <c r="J18" s="386"/>
      <c r="K18" s="466"/>
      <c r="L18" s="440"/>
      <c r="M18" s="518"/>
      <c r="N18" s="519"/>
      <c r="O18" s="519"/>
      <c r="P18" s="519"/>
      <c r="Q18" s="520"/>
      <c r="R18" s="519"/>
      <c r="T18" s="8">
        <f t="shared" ref="T18:T81" si="0">I18/$I$11</f>
        <v>0</v>
      </c>
    </row>
    <row r="19" spans="1:20" outlineLevel="1" x14ac:dyDescent="0.25">
      <c r="A19" s="195">
        <v>1.1000000000000001</v>
      </c>
      <c r="B19" s="196" t="s">
        <v>671</v>
      </c>
      <c r="C19" s="118"/>
      <c r="D19" s="191"/>
      <c r="E19" s="191"/>
      <c r="F19" s="135"/>
      <c r="G19" s="373">
        <v>52.2</v>
      </c>
      <c r="H19" s="353">
        <v>1421</v>
      </c>
      <c r="I19" s="198">
        <v>4880</v>
      </c>
      <c r="J19" s="387">
        <v>1</v>
      </c>
      <c r="K19" s="466"/>
      <c r="L19" s="441" t="str">
        <f>B19</f>
        <v xml:space="preserve">Food </v>
      </c>
      <c r="M19" s="498">
        <v>0</v>
      </c>
      <c r="N19" s="116"/>
      <c r="O19" s="116"/>
      <c r="P19" s="116"/>
      <c r="Q19" s="418"/>
      <c r="R19" s="116"/>
      <c r="T19" s="8">
        <f t="shared" si="0"/>
        <v>0.99186991869918695</v>
      </c>
    </row>
    <row r="20" spans="1:20" hidden="1" outlineLevel="1" x14ac:dyDescent="0.25">
      <c r="A20" s="200"/>
      <c r="B20" s="201" t="s">
        <v>672</v>
      </c>
      <c r="C20" s="136" t="s">
        <v>673</v>
      </c>
      <c r="D20" s="202"/>
      <c r="E20" s="200"/>
      <c r="F20" s="200"/>
      <c r="G20" s="197">
        <v>5.2</v>
      </c>
      <c r="H20" s="353">
        <v>141</v>
      </c>
      <c r="I20" s="198">
        <v>4770</v>
      </c>
      <c r="J20" s="387">
        <v>1.2</v>
      </c>
      <c r="K20" s="466"/>
      <c r="L20" s="440"/>
      <c r="M20" s="521"/>
      <c r="N20" s="522"/>
      <c r="O20" s="522"/>
      <c r="P20" s="522"/>
      <c r="Q20" s="523"/>
      <c r="R20" s="522"/>
      <c r="T20" s="8">
        <f t="shared" si="0"/>
        <v>0.96951219512195119</v>
      </c>
    </row>
    <row r="21" spans="1:20" hidden="1" outlineLevel="1" x14ac:dyDescent="0.25">
      <c r="A21" s="200"/>
      <c r="B21" s="200"/>
      <c r="C21" s="136" t="s">
        <v>674</v>
      </c>
      <c r="D21" s="136" t="s">
        <v>675</v>
      </c>
      <c r="E21" s="200"/>
      <c r="F21" s="200"/>
      <c r="G21" s="197">
        <v>0.4</v>
      </c>
      <c r="H21" s="353">
        <v>12</v>
      </c>
      <c r="I21" s="198">
        <v>1350</v>
      </c>
      <c r="J21" s="387">
        <v>5.4</v>
      </c>
      <c r="K21" s="466"/>
      <c r="L21" s="440"/>
      <c r="M21" s="498"/>
      <c r="N21" s="116"/>
      <c r="O21" s="116"/>
      <c r="P21" s="116"/>
      <c r="Q21" s="418"/>
      <c r="R21" s="116"/>
      <c r="T21" s="8">
        <f t="shared" si="0"/>
        <v>0.27439024390243905</v>
      </c>
    </row>
    <row r="22" spans="1:20" hidden="1" outlineLevel="1" x14ac:dyDescent="0.25">
      <c r="A22" s="200"/>
      <c r="B22" s="200"/>
      <c r="C22" s="136" t="s">
        <v>676</v>
      </c>
      <c r="D22" s="136" t="s">
        <v>677</v>
      </c>
      <c r="E22" s="200"/>
      <c r="F22" s="200"/>
      <c r="G22" s="197">
        <v>2.4</v>
      </c>
      <c r="H22" s="353">
        <v>66</v>
      </c>
      <c r="I22" s="198">
        <v>4580</v>
      </c>
      <c r="J22" s="387">
        <v>1.2</v>
      </c>
      <c r="K22" s="466"/>
      <c r="L22" s="440"/>
      <c r="M22" s="498"/>
      <c r="N22" s="116"/>
      <c r="O22" s="116"/>
      <c r="P22" s="116"/>
      <c r="Q22" s="418"/>
      <c r="R22" s="116"/>
      <c r="T22" s="8">
        <f t="shared" si="0"/>
        <v>0.93089430894308944</v>
      </c>
    </row>
    <row r="23" spans="1:20" hidden="1" outlineLevel="1" x14ac:dyDescent="0.25">
      <c r="A23" s="200"/>
      <c r="B23" s="200"/>
      <c r="C23" s="136" t="s">
        <v>678</v>
      </c>
      <c r="D23" s="136" t="s">
        <v>679</v>
      </c>
      <c r="E23" s="200"/>
      <c r="F23" s="200"/>
      <c r="G23" s="197">
        <v>2.2999999999999998</v>
      </c>
      <c r="H23" s="353">
        <v>63</v>
      </c>
      <c r="I23" s="198">
        <v>3990</v>
      </c>
      <c r="J23" s="387">
        <v>1.5</v>
      </c>
      <c r="K23" s="466"/>
      <c r="L23" s="440"/>
      <c r="M23" s="498"/>
      <c r="N23" s="116"/>
      <c r="O23" s="116"/>
      <c r="P23" s="116"/>
      <c r="Q23" s="418"/>
      <c r="R23" s="116"/>
      <c r="T23" s="8">
        <f t="shared" si="0"/>
        <v>0.81097560975609762</v>
      </c>
    </row>
    <row r="24" spans="1:20" hidden="1" outlineLevel="1" x14ac:dyDescent="0.25">
      <c r="A24" s="200"/>
      <c r="B24" s="136" t="s">
        <v>680</v>
      </c>
      <c r="C24" s="136" t="s">
        <v>681</v>
      </c>
      <c r="D24" s="200"/>
      <c r="E24" s="200"/>
      <c r="F24" s="200"/>
      <c r="G24" s="197">
        <v>0.4</v>
      </c>
      <c r="H24" s="353">
        <v>11</v>
      </c>
      <c r="I24" s="198">
        <v>2000</v>
      </c>
      <c r="J24" s="387">
        <v>2.7</v>
      </c>
      <c r="K24" s="466"/>
      <c r="L24" s="440"/>
      <c r="M24" s="498"/>
      <c r="N24" s="116"/>
      <c r="O24" s="116"/>
      <c r="P24" s="116"/>
      <c r="Q24" s="418"/>
      <c r="R24" s="116"/>
      <c r="T24" s="8">
        <f t="shared" si="0"/>
        <v>0.4065040650406504</v>
      </c>
    </row>
    <row r="25" spans="1:20" hidden="1" outlineLevel="1" x14ac:dyDescent="0.25">
      <c r="A25" s="136"/>
      <c r="B25" s="136" t="s">
        <v>682</v>
      </c>
      <c r="C25" s="201" t="s">
        <v>683</v>
      </c>
      <c r="D25" s="137"/>
      <c r="E25" s="202"/>
      <c r="F25" s="137"/>
      <c r="G25" s="197">
        <v>3.6</v>
      </c>
      <c r="H25" s="353">
        <v>98</v>
      </c>
      <c r="I25" s="198">
        <v>4380</v>
      </c>
      <c r="J25" s="387">
        <v>1.5</v>
      </c>
      <c r="K25" s="466"/>
      <c r="L25" s="440"/>
      <c r="M25" s="498"/>
      <c r="N25" s="116"/>
      <c r="O25" s="116"/>
      <c r="P25" s="116"/>
      <c r="Q25" s="418"/>
      <c r="R25" s="116"/>
      <c r="T25" s="8">
        <f t="shared" si="0"/>
        <v>0.8902439024390244</v>
      </c>
    </row>
    <row r="26" spans="1:20" hidden="1" outlineLevel="1" x14ac:dyDescent="0.25">
      <c r="A26" s="136"/>
      <c r="B26" s="200"/>
      <c r="C26" s="201" t="s">
        <v>684</v>
      </c>
      <c r="D26" s="137" t="s">
        <v>685</v>
      </c>
      <c r="E26" s="202"/>
      <c r="F26" s="137"/>
      <c r="G26" s="197">
        <v>2.2000000000000002</v>
      </c>
      <c r="H26" s="353">
        <v>60</v>
      </c>
      <c r="I26" s="198">
        <v>4070</v>
      </c>
      <c r="J26" s="387">
        <v>1.6</v>
      </c>
      <c r="K26" s="466"/>
      <c r="L26" s="440"/>
      <c r="M26" s="498"/>
      <c r="N26" s="116"/>
      <c r="O26" s="116"/>
      <c r="P26" s="116"/>
      <c r="Q26" s="418"/>
      <c r="R26" s="116"/>
      <c r="T26" s="8">
        <f t="shared" si="0"/>
        <v>0.82723577235772361</v>
      </c>
    </row>
    <row r="27" spans="1:20" hidden="1" outlineLevel="1" x14ac:dyDescent="0.25">
      <c r="A27" s="136"/>
      <c r="B27" s="200"/>
      <c r="C27" s="201" t="s">
        <v>686</v>
      </c>
      <c r="D27" s="137" t="s">
        <v>687</v>
      </c>
      <c r="E27" s="202"/>
      <c r="F27" s="137"/>
      <c r="G27" s="197">
        <v>1.4</v>
      </c>
      <c r="H27" s="353">
        <v>38</v>
      </c>
      <c r="I27" s="198">
        <v>3170</v>
      </c>
      <c r="J27" s="387">
        <v>2.1</v>
      </c>
      <c r="K27" s="466"/>
      <c r="L27" s="440"/>
      <c r="M27" s="498"/>
      <c r="N27" s="116"/>
      <c r="O27" s="116"/>
      <c r="P27" s="116"/>
      <c r="Q27" s="418"/>
      <c r="R27" s="116"/>
      <c r="T27" s="8">
        <f t="shared" si="0"/>
        <v>0.64430894308943087</v>
      </c>
    </row>
    <row r="28" spans="1:20" hidden="1" outlineLevel="1" x14ac:dyDescent="0.25">
      <c r="A28" s="136"/>
      <c r="B28" s="136" t="s">
        <v>688</v>
      </c>
      <c r="C28" s="201" t="s">
        <v>689</v>
      </c>
      <c r="D28" s="137"/>
      <c r="E28" s="202"/>
      <c r="F28" s="137"/>
      <c r="G28" s="197">
        <v>0.8</v>
      </c>
      <c r="H28" s="353">
        <v>23</v>
      </c>
      <c r="I28" s="198">
        <v>1900</v>
      </c>
      <c r="J28" s="387">
        <v>2.6</v>
      </c>
      <c r="K28" s="466"/>
      <c r="L28" s="440"/>
      <c r="M28" s="498"/>
      <c r="N28" s="116"/>
      <c r="O28" s="116"/>
      <c r="P28" s="116"/>
      <c r="Q28" s="418"/>
      <c r="R28" s="116"/>
      <c r="T28" s="8">
        <f t="shared" si="0"/>
        <v>0.38617886178861788</v>
      </c>
    </row>
    <row r="29" spans="1:20" hidden="1" outlineLevel="1" x14ac:dyDescent="0.25">
      <c r="A29" s="200"/>
      <c r="B29" s="201"/>
      <c r="C29" s="137"/>
      <c r="D29" s="202"/>
      <c r="E29" s="202"/>
      <c r="F29" s="137"/>
      <c r="G29" s="197"/>
      <c r="H29" s="353"/>
      <c r="I29" s="198"/>
      <c r="J29" s="387">
        <v>0</v>
      </c>
      <c r="K29" s="466"/>
      <c r="L29" s="440"/>
      <c r="M29" s="498"/>
      <c r="N29" s="116"/>
      <c r="O29" s="116"/>
      <c r="P29" s="116"/>
      <c r="Q29" s="418"/>
      <c r="R29" s="116"/>
      <c r="T29" s="8">
        <f t="shared" si="0"/>
        <v>0</v>
      </c>
    </row>
    <row r="30" spans="1:20" hidden="1" outlineLevel="1" x14ac:dyDescent="0.25">
      <c r="A30" s="138"/>
      <c r="B30" s="136" t="s">
        <v>690</v>
      </c>
      <c r="C30" s="201" t="s">
        <v>691</v>
      </c>
      <c r="D30" s="137"/>
      <c r="E30" s="202"/>
      <c r="F30" s="137"/>
      <c r="G30" s="197">
        <v>1.9</v>
      </c>
      <c r="H30" s="353">
        <v>53</v>
      </c>
      <c r="I30" s="198">
        <v>2190</v>
      </c>
      <c r="J30" s="387">
        <v>2.7</v>
      </c>
      <c r="K30" s="466"/>
      <c r="L30" s="440"/>
      <c r="M30" s="498"/>
      <c r="N30" s="116"/>
      <c r="O30" s="116"/>
      <c r="P30" s="116"/>
      <c r="Q30" s="418"/>
      <c r="R30" s="116"/>
      <c r="T30" s="8">
        <f t="shared" si="0"/>
        <v>0.4451219512195122</v>
      </c>
    </row>
    <row r="31" spans="1:20" hidden="1" outlineLevel="1" x14ac:dyDescent="0.25">
      <c r="A31" s="138"/>
      <c r="B31" s="136" t="s">
        <v>692</v>
      </c>
      <c r="C31" s="201" t="s">
        <v>693</v>
      </c>
      <c r="D31" s="137"/>
      <c r="E31" s="202"/>
      <c r="F31" s="137"/>
      <c r="G31" s="197">
        <v>0.6</v>
      </c>
      <c r="H31" s="353">
        <v>16</v>
      </c>
      <c r="I31" s="198">
        <v>1090</v>
      </c>
      <c r="J31" s="387">
        <v>3.9</v>
      </c>
      <c r="K31" s="466"/>
      <c r="L31" s="440"/>
      <c r="M31" s="498"/>
      <c r="N31" s="116"/>
      <c r="O31" s="116"/>
      <c r="P31" s="116"/>
      <c r="Q31" s="418"/>
      <c r="R31" s="116"/>
      <c r="T31" s="8">
        <f t="shared" si="0"/>
        <v>0.22154471544715448</v>
      </c>
    </row>
    <row r="32" spans="1:20" hidden="1" outlineLevel="1" x14ac:dyDescent="0.25">
      <c r="A32" s="138"/>
      <c r="B32" s="136" t="s">
        <v>694</v>
      </c>
      <c r="C32" s="201" t="s">
        <v>695</v>
      </c>
      <c r="D32" s="137"/>
      <c r="E32" s="202"/>
      <c r="F32" s="137"/>
      <c r="G32" s="197">
        <v>0.7</v>
      </c>
      <c r="H32" s="353">
        <v>19</v>
      </c>
      <c r="I32" s="198">
        <v>730</v>
      </c>
      <c r="J32" s="387">
        <v>6</v>
      </c>
      <c r="K32" s="466"/>
      <c r="L32" s="440"/>
      <c r="M32" s="498"/>
      <c r="N32" s="116"/>
      <c r="O32" s="116"/>
      <c r="P32" s="116"/>
      <c r="Q32" s="418"/>
      <c r="R32" s="116"/>
      <c r="T32" s="8">
        <f t="shared" si="0"/>
        <v>0.1483739837398374</v>
      </c>
    </row>
    <row r="33" spans="1:20" hidden="1" outlineLevel="1" x14ac:dyDescent="0.25">
      <c r="A33" s="203"/>
      <c r="B33" s="136" t="s">
        <v>696</v>
      </c>
      <c r="C33" s="201" t="s">
        <v>697</v>
      </c>
      <c r="D33" s="137"/>
      <c r="E33" s="202"/>
      <c r="F33" s="137"/>
      <c r="G33" s="197">
        <v>2.1</v>
      </c>
      <c r="H33" s="353">
        <v>58</v>
      </c>
      <c r="I33" s="198">
        <v>2570</v>
      </c>
      <c r="J33" s="387">
        <v>2.1</v>
      </c>
      <c r="K33" s="466"/>
      <c r="L33" s="440"/>
      <c r="M33" s="498"/>
      <c r="N33" s="116"/>
      <c r="O33" s="116"/>
      <c r="P33" s="116"/>
      <c r="Q33" s="418"/>
      <c r="R33" s="116"/>
      <c r="T33" s="8">
        <f t="shared" si="0"/>
        <v>0.52235772357723576</v>
      </c>
    </row>
    <row r="34" spans="1:20" hidden="1" outlineLevel="1" x14ac:dyDescent="0.25">
      <c r="A34" s="137"/>
      <c r="B34" s="136" t="s">
        <v>698</v>
      </c>
      <c r="C34" s="136" t="s">
        <v>699</v>
      </c>
      <c r="D34" s="204"/>
      <c r="E34" s="202"/>
      <c r="F34" s="205"/>
      <c r="G34" s="197">
        <v>0.9</v>
      </c>
      <c r="H34" s="353">
        <v>24</v>
      </c>
      <c r="I34" s="198">
        <v>2130</v>
      </c>
      <c r="J34" s="387">
        <v>2.6</v>
      </c>
      <c r="K34" s="466"/>
      <c r="L34" s="440"/>
      <c r="M34" s="498"/>
      <c r="N34" s="116"/>
      <c r="O34" s="116"/>
      <c r="P34" s="116"/>
      <c r="Q34" s="418"/>
      <c r="R34" s="116"/>
      <c r="T34" s="8">
        <f t="shared" si="0"/>
        <v>0.43292682926829268</v>
      </c>
    </row>
    <row r="35" spans="1:20" hidden="1" outlineLevel="1" x14ac:dyDescent="0.25">
      <c r="A35" s="137"/>
      <c r="B35" s="136" t="s">
        <v>700</v>
      </c>
      <c r="C35" s="136" t="s">
        <v>701</v>
      </c>
      <c r="D35" s="204"/>
      <c r="E35" s="202"/>
      <c r="F35" s="205"/>
      <c r="G35" s="197">
        <v>6</v>
      </c>
      <c r="H35" s="353">
        <v>164</v>
      </c>
      <c r="I35" s="198">
        <v>4330</v>
      </c>
      <c r="J35" s="387">
        <v>1.5</v>
      </c>
      <c r="K35" s="466"/>
      <c r="L35" s="440"/>
      <c r="M35" s="498"/>
      <c r="N35" s="116"/>
      <c r="O35" s="116"/>
      <c r="P35" s="116"/>
      <c r="Q35" s="418"/>
      <c r="R35" s="116"/>
      <c r="T35" s="8">
        <f t="shared" si="0"/>
        <v>0.88008130081300817</v>
      </c>
    </row>
    <row r="36" spans="1:20" hidden="1" outlineLevel="1" x14ac:dyDescent="0.25">
      <c r="A36" s="137"/>
      <c r="B36" s="136"/>
      <c r="C36" s="136" t="s">
        <v>702</v>
      </c>
      <c r="D36" s="206" t="s">
        <v>703</v>
      </c>
      <c r="E36" s="202"/>
      <c r="F36" s="205"/>
      <c r="G36" s="197">
        <v>0.8</v>
      </c>
      <c r="H36" s="353">
        <v>23</v>
      </c>
      <c r="I36" s="198">
        <v>2170</v>
      </c>
      <c r="J36" s="387">
        <v>2.5</v>
      </c>
      <c r="K36" s="466"/>
      <c r="L36" s="440"/>
      <c r="M36" s="498"/>
      <c r="N36" s="116"/>
      <c r="O36" s="116"/>
      <c r="P36" s="116"/>
      <c r="Q36" s="418"/>
      <c r="R36" s="116"/>
      <c r="T36" s="8">
        <f t="shared" si="0"/>
        <v>0.44105691056910568</v>
      </c>
    </row>
    <row r="37" spans="1:20" hidden="1" outlineLevel="1" x14ac:dyDescent="0.25">
      <c r="A37" s="137"/>
      <c r="B37" s="136"/>
      <c r="C37" s="136" t="s">
        <v>704</v>
      </c>
      <c r="D37" s="206" t="s">
        <v>705</v>
      </c>
      <c r="E37" s="202"/>
      <c r="F37" s="205"/>
      <c r="G37" s="197">
        <v>0.1</v>
      </c>
      <c r="H37" s="353">
        <v>3</v>
      </c>
      <c r="I37" s="198">
        <v>590</v>
      </c>
      <c r="J37" s="387">
        <v>5.9</v>
      </c>
      <c r="K37" s="466"/>
      <c r="L37" s="440"/>
      <c r="M37" s="498"/>
      <c r="N37" s="116"/>
      <c r="O37" s="116"/>
      <c r="P37" s="116"/>
      <c r="Q37" s="418"/>
      <c r="R37" s="116"/>
      <c r="T37" s="8">
        <f t="shared" si="0"/>
        <v>0.11991869918699187</v>
      </c>
    </row>
    <row r="38" spans="1:20" hidden="1" outlineLevel="1" x14ac:dyDescent="0.25">
      <c r="A38" s="137"/>
      <c r="B38" s="136"/>
      <c r="C38" s="136" t="s">
        <v>706</v>
      </c>
      <c r="D38" s="206" t="s">
        <v>707</v>
      </c>
      <c r="E38" s="202"/>
      <c r="F38" s="205"/>
      <c r="G38" s="197">
        <v>5.0999999999999996</v>
      </c>
      <c r="H38" s="353">
        <v>138</v>
      </c>
      <c r="I38" s="198">
        <v>4180</v>
      </c>
      <c r="J38" s="387">
        <v>1.7</v>
      </c>
      <c r="K38" s="466"/>
      <c r="L38" s="440"/>
      <c r="M38" s="498"/>
      <c r="N38" s="116"/>
      <c r="O38" s="116"/>
      <c r="P38" s="116"/>
      <c r="Q38" s="418"/>
      <c r="R38" s="116"/>
      <c r="T38" s="8">
        <f t="shared" si="0"/>
        <v>0.84959349593495936</v>
      </c>
    </row>
    <row r="39" spans="1:20" hidden="1" outlineLevel="1" x14ac:dyDescent="0.25">
      <c r="A39" s="137"/>
      <c r="B39" s="136"/>
      <c r="C39" s="136" t="s">
        <v>708</v>
      </c>
      <c r="D39" s="206" t="s">
        <v>709</v>
      </c>
      <c r="E39" s="202"/>
      <c r="F39" s="205"/>
      <c r="G39" s="197">
        <v>0</v>
      </c>
      <c r="H39" s="353">
        <v>0</v>
      </c>
      <c r="I39" s="198">
        <v>20</v>
      </c>
      <c r="J39" s="387">
        <v>22</v>
      </c>
      <c r="K39" s="466"/>
      <c r="L39" s="440"/>
      <c r="M39" s="498"/>
      <c r="N39" s="116"/>
      <c r="O39" s="116"/>
      <c r="P39" s="116"/>
      <c r="Q39" s="418"/>
      <c r="R39" s="116"/>
      <c r="T39" s="8">
        <f t="shared" si="0"/>
        <v>4.0650406504065045E-3</v>
      </c>
    </row>
    <row r="40" spans="1:20" hidden="1" outlineLevel="1" x14ac:dyDescent="0.25">
      <c r="A40" s="136"/>
      <c r="B40" s="136"/>
      <c r="C40" s="206"/>
      <c r="D40" s="202"/>
      <c r="E40" s="202"/>
      <c r="F40" s="205"/>
      <c r="G40" s="197"/>
      <c r="H40" s="353"/>
      <c r="I40" s="198"/>
      <c r="J40" s="387"/>
      <c r="K40" s="466"/>
      <c r="L40" s="440"/>
      <c r="M40" s="498"/>
      <c r="N40" s="116"/>
      <c r="O40" s="116"/>
      <c r="P40" s="116"/>
      <c r="Q40" s="418"/>
      <c r="R40" s="116"/>
      <c r="T40" s="8">
        <f t="shared" si="0"/>
        <v>0</v>
      </c>
    </row>
    <row r="41" spans="1:20" hidden="1" outlineLevel="1" x14ac:dyDescent="0.25">
      <c r="A41" s="137"/>
      <c r="B41" s="136" t="s">
        <v>710</v>
      </c>
      <c r="C41" s="201" t="s">
        <v>711</v>
      </c>
      <c r="D41" s="137"/>
      <c r="E41" s="202"/>
      <c r="F41" s="137"/>
      <c r="G41" s="192">
        <v>2.6</v>
      </c>
      <c r="H41" s="352">
        <v>71</v>
      </c>
      <c r="I41" s="193">
        <v>3170</v>
      </c>
      <c r="J41" s="387">
        <v>2.2000000000000002</v>
      </c>
      <c r="K41" s="466"/>
      <c r="L41" s="440"/>
      <c r="M41" s="498"/>
      <c r="N41" s="116"/>
      <c r="O41" s="116"/>
      <c r="P41" s="116"/>
      <c r="Q41" s="418"/>
      <c r="R41" s="116"/>
      <c r="T41" s="8">
        <f t="shared" si="0"/>
        <v>0.64430894308943087</v>
      </c>
    </row>
    <row r="42" spans="1:20" hidden="1" outlineLevel="1" x14ac:dyDescent="0.25">
      <c r="A42" s="137"/>
      <c r="B42" s="136"/>
      <c r="C42" s="201" t="s">
        <v>712</v>
      </c>
      <c r="D42" s="137" t="s">
        <v>713</v>
      </c>
      <c r="E42" s="202"/>
      <c r="F42" s="205"/>
      <c r="G42" s="192">
        <v>0.8</v>
      </c>
      <c r="H42" s="352">
        <v>22</v>
      </c>
      <c r="I42" s="193">
        <v>1230</v>
      </c>
      <c r="J42" s="387">
        <v>3.9</v>
      </c>
      <c r="K42" s="466"/>
      <c r="L42" s="440"/>
      <c r="M42" s="498"/>
      <c r="N42" s="116"/>
      <c r="O42" s="116"/>
      <c r="P42" s="116"/>
      <c r="Q42" s="418"/>
      <c r="R42" s="116"/>
      <c r="T42" s="8">
        <f t="shared" si="0"/>
        <v>0.25</v>
      </c>
    </row>
    <row r="43" spans="1:20" hidden="1" outlineLevel="1" x14ac:dyDescent="0.25">
      <c r="A43" s="137"/>
      <c r="B43" s="200"/>
      <c r="C43" s="201" t="s">
        <v>714</v>
      </c>
      <c r="D43" s="137" t="s">
        <v>715</v>
      </c>
      <c r="E43" s="202"/>
      <c r="F43" s="205"/>
      <c r="G43" s="197">
        <v>0.6</v>
      </c>
      <c r="H43" s="353">
        <v>17</v>
      </c>
      <c r="I43" s="198">
        <v>1110</v>
      </c>
      <c r="J43" s="387">
        <v>4.2</v>
      </c>
      <c r="K43" s="466"/>
      <c r="L43" s="440"/>
      <c r="M43" s="498"/>
      <c r="N43" s="116"/>
      <c r="O43" s="116"/>
      <c r="P43" s="116"/>
      <c r="Q43" s="418"/>
      <c r="R43" s="116"/>
      <c r="T43" s="8">
        <f t="shared" si="0"/>
        <v>0.22560975609756098</v>
      </c>
    </row>
    <row r="44" spans="1:20" hidden="1" outlineLevel="1" x14ac:dyDescent="0.25">
      <c r="A44" s="203"/>
      <c r="B44" s="200"/>
      <c r="C44" s="201" t="s">
        <v>716</v>
      </c>
      <c r="D44" s="137" t="s">
        <v>717</v>
      </c>
      <c r="E44" s="202"/>
      <c r="F44" s="205"/>
      <c r="G44" s="197">
        <v>1.2</v>
      </c>
      <c r="H44" s="353">
        <v>32</v>
      </c>
      <c r="I44" s="198">
        <v>2470</v>
      </c>
      <c r="J44" s="387">
        <v>2.4</v>
      </c>
      <c r="K44" s="466"/>
      <c r="L44" s="440"/>
      <c r="M44" s="498"/>
      <c r="N44" s="116"/>
      <c r="O44" s="116"/>
      <c r="P44" s="116"/>
      <c r="Q44" s="418"/>
      <c r="R44" s="116"/>
      <c r="T44" s="8">
        <f t="shared" si="0"/>
        <v>0.50203252032520329</v>
      </c>
    </row>
    <row r="45" spans="1:20" hidden="1" outlineLevel="1" x14ac:dyDescent="0.25">
      <c r="A45" s="137"/>
      <c r="B45" s="200"/>
      <c r="C45" s="201"/>
      <c r="D45" s="137"/>
      <c r="E45" s="202"/>
      <c r="F45" s="205"/>
      <c r="G45" s="197"/>
      <c r="H45" s="353"/>
      <c r="I45" s="198"/>
      <c r="J45" s="388"/>
      <c r="K45" s="466"/>
      <c r="L45" s="440"/>
      <c r="M45" s="498"/>
      <c r="N45" s="116"/>
      <c r="O45" s="116"/>
      <c r="P45" s="116"/>
      <c r="Q45" s="418"/>
      <c r="R45" s="116"/>
      <c r="T45" s="8">
        <f t="shared" si="0"/>
        <v>0</v>
      </c>
    </row>
    <row r="46" spans="1:20" hidden="1" outlineLevel="1" x14ac:dyDescent="0.25">
      <c r="A46" s="137"/>
      <c r="B46" s="136" t="s">
        <v>718</v>
      </c>
      <c r="C46" s="201" t="s">
        <v>719</v>
      </c>
      <c r="D46" s="137"/>
      <c r="E46" s="202"/>
      <c r="F46" s="137"/>
      <c r="G46" s="197">
        <v>2.1</v>
      </c>
      <c r="H46" s="353">
        <v>58</v>
      </c>
      <c r="I46" s="198">
        <v>4470</v>
      </c>
      <c r="J46" s="387">
        <v>1.8</v>
      </c>
      <c r="K46" s="466"/>
      <c r="L46" s="440"/>
      <c r="M46" s="498"/>
      <c r="N46" s="116"/>
      <c r="O46" s="116"/>
      <c r="P46" s="116"/>
      <c r="Q46" s="418"/>
      <c r="R46" s="116"/>
      <c r="T46" s="8">
        <f t="shared" si="0"/>
        <v>0.90853658536585369</v>
      </c>
    </row>
    <row r="47" spans="1:20" hidden="1" outlineLevel="1" x14ac:dyDescent="0.25">
      <c r="A47" s="137"/>
      <c r="B47" s="136"/>
      <c r="C47" s="136" t="s">
        <v>720</v>
      </c>
      <c r="D47" s="208" t="s">
        <v>721</v>
      </c>
      <c r="E47" s="202"/>
      <c r="F47" s="205"/>
      <c r="G47" s="197">
        <v>0.4</v>
      </c>
      <c r="H47" s="353">
        <v>11</v>
      </c>
      <c r="I47" s="198">
        <v>1250</v>
      </c>
      <c r="J47" s="387">
        <v>3.8</v>
      </c>
      <c r="K47" s="466"/>
      <c r="L47" s="440"/>
      <c r="M47" s="498"/>
      <c r="N47" s="116"/>
      <c r="O47" s="116"/>
      <c r="P47" s="116"/>
      <c r="Q47" s="418"/>
      <c r="R47" s="116"/>
      <c r="T47" s="8">
        <f t="shared" si="0"/>
        <v>0.25406504065040653</v>
      </c>
    </row>
    <row r="48" spans="1:20" hidden="1" outlineLevel="1" x14ac:dyDescent="0.25">
      <c r="A48" s="137"/>
      <c r="B48" s="136"/>
      <c r="C48" s="136" t="s">
        <v>722</v>
      </c>
      <c r="D48" s="204" t="s">
        <v>723</v>
      </c>
      <c r="E48" s="202"/>
      <c r="F48" s="205"/>
      <c r="G48" s="197">
        <v>1.4</v>
      </c>
      <c r="H48" s="353">
        <v>39</v>
      </c>
      <c r="I48" s="198">
        <v>3830</v>
      </c>
      <c r="J48" s="387">
        <v>1.7</v>
      </c>
      <c r="K48" s="466"/>
      <c r="L48" s="440"/>
      <c r="M48" s="498"/>
      <c r="N48" s="116"/>
      <c r="O48" s="116"/>
      <c r="P48" s="116"/>
      <c r="Q48" s="418"/>
      <c r="R48" s="116"/>
      <c r="T48" s="8">
        <f t="shared" si="0"/>
        <v>0.77845528455284552</v>
      </c>
    </row>
    <row r="49" spans="1:20" hidden="1" outlineLevel="1" x14ac:dyDescent="0.25">
      <c r="A49" s="137"/>
      <c r="B49" s="136"/>
      <c r="C49" s="136" t="s">
        <v>724</v>
      </c>
      <c r="D49" s="206" t="s">
        <v>725</v>
      </c>
      <c r="E49" s="202"/>
      <c r="F49" s="205"/>
      <c r="G49" s="197">
        <v>0.3</v>
      </c>
      <c r="H49" s="353">
        <v>8</v>
      </c>
      <c r="I49" s="198">
        <v>330</v>
      </c>
      <c r="J49" s="387">
        <v>9.1999999999999993</v>
      </c>
      <c r="K49" s="466"/>
      <c r="L49" s="440"/>
      <c r="M49" s="498"/>
      <c r="N49" s="116"/>
      <c r="O49" s="116"/>
      <c r="P49" s="116"/>
      <c r="Q49" s="418"/>
      <c r="R49" s="116"/>
      <c r="T49" s="8">
        <f t="shared" si="0"/>
        <v>6.7073170731707321E-2</v>
      </c>
    </row>
    <row r="50" spans="1:20" hidden="1" outlineLevel="1" x14ac:dyDescent="0.25">
      <c r="B50" s="136" t="s">
        <v>726</v>
      </c>
      <c r="C50" s="136" t="s">
        <v>727</v>
      </c>
      <c r="D50" s="209"/>
      <c r="E50" s="137"/>
      <c r="F50" s="137"/>
      <c r="G50" s="171">
        <v>1.9</v>
      </c>
      <c r="H50" s="349">
        <v>51</v>
      </c>
      <c r="I50" s="172">
        <v>3540</v>
      </c>
      <c r="J50" s="387">
        <v>1.8</v>
      </c>
      <c r="K50" s="466"/>
      <c r="L50" s="440"/>
      <c r="M50" s="498"/>
      <c r="N50" s="116"/>
      <c r="O50" s="116"/>
      <c r="P50" s="116"/>
      <c r="Q50" s="418"/>
      <c r="R50" s="116"/>
      <c r="T50" s="8">
        <f t="shared" si="0"/>
        <v>0.71951219512195119</v>
      </c>
    </row>
    <row r="51" spans="1:20" hidden="1" outlineLevel="1" x14ac:dyDescent="0.25">
      <c r="B51" s="136" t="s">
        <v>728</v>
      </c>
      <c r="C51" s="201" t="s">
        <v>729</v>
      </c>
      <c r="D51" s="137"/>
      <c r="E51" s="205"/>
      <c r="F51" s="204"/>
      <c r="G51" s="192">
        <v>0.7</v>
      </c>
      <c r="H51" s="352">
        <v>18</v>
      </c>
      <c r="I51" s="193">
        <v>2900</v>
      </c>
      <c r="J51" s="387">
        <v>1.9</v>
      </c>
      <c r="K51" s="466"/>
      <c r="L51" s="440"/>
      <c r="M51" s="498"/>
      <c r="N51" s="116"/>
      <c r="O51" s="116"/>
      <c r="P51" s="116"/>
      <c r="Q51" s="418"/>
      <c r="R51" s="116"/>
      <c r="T51" s="8">
        <f t="shared" si="0"/>
        <v>0.58943089430894313</v>
      </c>
    </row>
    <row r="52" spans="1:20" hidden="1" outlineLevel="1" x14ac:dyDescent="0.25">
      <c r="B52" s="136" t="s">
        <v>730</v>
      </c>
      <c r="C52" s="201" t="s">
        <v>731</v>
      </c>
      <c r="D52" s="137"/>
      <c r="E52" s="202"/>
      <c r="F52" s="204"/>
      <c r="G52" s="192">
        <v>2.1</v>
      </c>
      <c r="H52" s="352">
        <v>56</v>
      </c>
      <c r="I52" s="193">
        <v>3780</v>
      </c>
      <c r="J52" s="387">
        <v>1.7</v>
      </c>
      <c r="K52" s="466"/>
      <c r="L52" s="440"/>
      <c r="M52" s="498"/>
      <c r="N52" s="116"/>
      <c r="O52" s="116"/>
      <c r="P52" s="116"/>
      <c r="Q52" s="418"/>
      <c r="R52" s="116"/>
      <c r="T52" s="8">
        <f t="shared" si="0"/>
        <v>0.76829268292682928</v>
      </c>
    </row>
    <row r="53" spans="1:20" hidden="1" outlineLevel="1" x14ac:dyDescent="0.25">
      <c r="B53" s="136"/>
      <c r="C53" s="201" t="s">
        <v>732</v>
      </c>
      <c r="D53" s="137" t="s">
        <v>731</v>
      </c>
      <c r="E53" s="202"/>
      <c r="F53" s="137"/>
      <c r="G53" s="192">
        <v>0.9</v>
      </c>
      <c r="H53" s="352">
        <v>26</v>
      </c>
      <c r="I53" s="193">
        <v>2840</v>
      </c>
      <c r="J53" s="387">
        <v>2.2000000000000002</v>
      </c>
      <c r="K53" s="466"/>
      <c r="L53" s="440"/>
      <c r="M53" s="498"/>
      <c r="N53" s="116"/>
      <c r="O53" s="116"/>
      <c r="P53" s="116"/>
      <c r="Q53" s="418"/>
      <c r="R53" s="116"/>
      <c r="T53" s="8">
        <f t="shared" si="0"/>
        <v>0.57723577235772361</v>
      </c>
    </row>
    <row r="54" spans="1:20" hidden="1" outlineLevel="1" x14ac:dyDescent="0.25">
      <c r="B54" s="200"/>
      <c r="C54" s="201" t="s">
        <v>733</v>
      </c>
      <c r="D54" s="137" t="s">
        <v>734</v>
      </c>
      <c r="E54" s="202"/>
      <c r="F54" s="137"/>
      <c r="G54" s="197">
        <v>1.1000000000000001</v>
      </c>
      <c r="H54" s="353">
        <v>30</v>
      </c>
      <c r="I54" s="198">
        <v>2790</v>
      </c>
      <c r="J54" s="387">
        <v>2.1</v>
      </c>
      <c r="K54" s="466"/>
      <c r="L54" s="440"/>
      <c r="M54" s="498"/>
      <c r="N54" s="116"/>
      <c r="O54" s="116"/>
      <c r="P54" s="116"/>
      <c r="Q54" s="418"/>
      <c r="R54" s="116"/>
      <c r="T54" s="8">
        <f t="shared" si="0"/>
        <v>0.56707317073170727</v>
      </c>
    </row>
    <row r="55" spans="1:20" hidden="1" outlineLevel="1" x14ac:dyDescent="0.25">
      <c r="B55" s="200"/>
      <c r="C55" s="201"/>
      <c r="D55" s="137"/>
      <c r="E55" s="202"/>
      <c r="F55" s="137"/>
      <c r="G55" s="197"/>
      <c r="H55" s="353"/>
      <c r="I55" s="198"/>
      <c r="J55" s="387"/>
      <c r="K55" s="466"/>
      <c r="L55" s="440"/>
      <c r="M55" s="498"/>
      <c r="N55" s="116"/>
      <c r="O55" s="116"/>
      <c r="P55" s="116"/>
      <c r="Q55" s="418"/>
      <c r="R55" s="116"/>
      <c r="T55" s="8">
        <f t="shared" si="0"/>
        <v>0</v>
      </c>
    </row>
    <row r="56" spans="1:20" hidden="1" outlineLevel="1" x14ac:dyDescent="0.25">
      <c r="B56" s="136" t="s">
        <v>735</v>
      </c>
      <c r="C56" s="201" t="s">
        <v>736</v>
      </c>
      <c r="D56" s="137"/>
      <c r="E56" s="202"/>
      <c r="F56" s="137"/>
      <c r="G56" s="197">
        <v>0.5</v>
      </c>
      <c r="H56" s="353">
        <v>13</v>
      </c>
      <c r="I56" s="198">
        <v>1630</v>
      </c>
      <c r="J56" s="387">
        <v>3.1</v>
      </c>
      <c r="K56" s="466"/>
      <c r="L56" s="440"/>
      <c r="M56" s="498"/>
      <c r="N56" s="116"/>
      <c r="O56" s="116"/>
      <c r="P56" s="116"/>
      <c r="Q56" s="418"/>
      <c r="R56" s="116"/>
      <c r="T56" s="8">
        <f t="shared" si="0"/>
        <v>0.33130081300813008</v>
      </c>
    </row>
    <row r="57" spans="1:20" hidden="1" outlineLevel="1" x14ac:dyDescent="0.25">
      <c r="B57" s="136" t="s">
        <v>737</v>
      </c>
      <c r="C57" s="201" t="s">
        <v>738</v>
      </c>
      <c r="D57" s="137"/>
      <c r="E57" s="202"/>
      <c r="F57" s="137"/>
      <c r="G57" s="197">
        <v>0.4</v>
      </c>
      <c r="H57" s="353">
        <v>12</v>
      </c>
      <c r="I57" s="198">
        <v>1980</v>
      </c>
      <c r="J57" s="387">
        <v>2.2999999999999998</v>
      </c>
      <c r="K57" s="466"/>
      <c r="L57" s="440"/>
      <c r="M57" s="498"/>
      <c r="N57" s="116"/>
      <c r="O57" s="116"/>
      <c r="P57" s="116"/>
      <c r="Q57" s="418"/>
      <c r="R57" s="116"/>
      <c r="T57" s="8">
        <f t="shared" si="0"/>
        <v>0.40243902439024393</v>
      </c>
    </row>
    <row r="58" spans="1:20" hidden="1" outlineLevel="1" x14ac:dyDescent="0.25">
      <c r="B58" s="136" t="s">
        <v>739</v>
      </c>
      <c r="C58" s="201" t="s">
        <v>740</v>
      </c>
      <c r="D58" s="137"/>
      <c r="E58" s="202"/>
      <c r="F58" s="137"/>
      <c r="G58" s="197">
        <v>0.4</v>
      </c>
      <c r="H58" s="353">
        <v>10</v>
      </c>
      <c r="I58" s="198">
        <v>1140</v>
      </c>
      <c r="J58" s="387">
        <v>13.9</v>
      </c>
      <c r="K58" s="466"/>
      <c r="L58" s="440"/>
      <c r="M58" s="498"/>
      <c r="N58" s="116"/>
      <c r="O58" s="116"/>
      <c r="P58" s="116"/>
      <c r="Q58" s="418"/>
      <c r="R58" s="116"/>
      <c r="T58" s="8">
        <f t="shared" si="0"/>
        <v>0.23170731707317074</v>
      </c>
    </row>
    <row r="59" spans="1:20" hidden="1" outlineLevel="1" x14ac:dyDescent="0.25">
      <c r="B59" s="200"/>
      <c r="C59" s="201" t="s">
        <v>741</v>
      </c>
      <c r="D59" s="137" t="s">
        <v>742</v>
      </c>
      <c r="E59" s="202"/>
      <c r="F59" s="137"/>
      <c r="G59" s="197">
        <v>0.1</v>
      </c>
      <c r="H59" s="353">
        <v>4</v>
      </c>
      <c r="I59" s="198">
        <v>430</v>
      </c>
      <c r="J59" s="387">
        <v>6.2</v>
      </c>
      <c r="K59" s="466"/>
      <c r="L59" s="440"/>
      <c r="M59" s="498"/>
      <c r="N59" s="116"/>
      <c r="O59" s="116"/>
      <c r="P59" s="116"/>
      <c r="Q59" s="418"/>
      <c r="R59" s="116"/>
      <c r="T59" s="8">
        <f t="shared" si="0"/>
        <v>8.7398373983739841E-2</v>
      </c>
    </row>
    <row r="60" spans="1:20" hidden="1" outlineLevel="1" x14ac:dyDescent="0.25">
      <c r="B60" s="200"/>
      <c r="C60" s="201" t="s">
        <v>743</v>
      </c>
      <c r="D60" s="137" t="s">
        <v>744</v>
      </c>
      <c r="E60" s="202"/>
      <c r="F60" s="137"/>
      <c r="G60" s="197">
        <v>0.2</v>
      </c>
      <c r="H60" s="353">
        <v>6</v>
      </c>
      <c r="I60" s="198">
        <v>810</v>
      </c>
      <c r="J60" s="387">
        <v>21</v>
      </c>
      <c r="K60" s="466"/>
      <c r="L60" s="440"/>
      <c r="M60" s="498"/>
      <c r="N60" s="116"/>
      <c r="O60" s="116"/>
      <c r="P60" s="116"/>
      <c r="Q60" s="418"/>
      <c r="R60" s="116"/>
      <c r="T60" s="8">
        <f t="shared" si="0"/>
        <v>0.16463414634146342</v>
      </c>
    </row>
    <row r="61" spans="1:20" hidden="1" outlineLevel="1" x14ac:dyDescent="0.25">
      <c r="B61" s="200"/>
      <c r="C61" s="201"/>
      <c r="D61" s="137"/>
      <c r="E61" s="202"/>
      <c r="F61" s="137"/>
      <c r="G61" s="197"/>
      <c r="H61" s="353"/>
      <c r="I61" s="198"/>
      <c r="J61" s="387"/>
      <c r="K61" s="466"/>
      <c r="L61" s="440"/>
      <c r="M61" s="498"/>
      <c r="N61" s="116"/>
      <c r="O61" s="116"/>
      <c r="P61" s="116"/>
      <c r="Q61" s="418"/>
      <c r="R61" s="116"/>
      <c r="T61" s="8">
        <f t="shared" si="0"/>
        <v>0</v>
      </c>
    </row>
    <row r="62" spans="1:20" hidden="1" outlineLevel="1" x14ac:dyDescent="0.25">
      <c r="B62" s="136" t="s">
        <v>745</v>
      </c>
      <c r="C62" s="136" t="s">
        <v>746</v>
      </c>
      <c r="D62" s="137"/>
      <c r="E62" s="202"/>
      <c r="F62" s="137"/>
      <c r="G62" s="197">
        <v>3.6</v>
      </c>
      <c r="H62" s="353">
        <v>98</v>
      </c>
      <c r="I62" s="198">
        <v>4150</v>
      </c>
      <c r="J62" s="387">
        <v>1.7</v>
      </c>
      <c r="K62" s="466"/>
      <c r="L62" s="440"/>
      <c r="M62" s="498"/>
      <c r="N62" s="116"/>
      <c r="O62" s="116"/>
      <c r="P62" s="116"/>
      <c r="Q62" s="418"/>
      <c r="R62" s="116"/>
      <c r="T62" s="8">
        <f t="shared" si="0"/>
        <v>0.8434959349593496</v>
      </c>
    </row>
    <row r="63" spans="1:20" hidden="1" outlineLevel="1" x14ac:dyDescent="0.25">
      <c r="B63" s="136"/>
      <c r="C63" s="136" t="s">
        <v>747</v>
      </c>
      <c r="D63" s="204" t="s">
        <v>748</v>
      </c>
      <c r="E63" s="202"/>
      <c r="F63" s="205"/>
      <c r="G63" s="197">
        <v>0.5</v>
      </c>
      <c r="H63" s="353">
        <v>15</v>
      </c>
      <c r="I63" s="198">
        <v>2240</v>
      </c>
      <c r="J63" s="387">
        <v>2.7</v>
      </c>
      <c r="K63" s="466"/>
      <c r="L63" s="440"/>
      <c r="M63" s="498"/>
      <c r="N63" s="116"/>
      <c r="O63" s="116"/>
      <c r="P63" s="116"/>
      <c r="Q63" s="418"/>
      <c r="R63" s="116"/>
      <c r="T63" s="8">
        <f t="shared" si="0"/>
        <v>0.45528455284552843</v>
      </c>
    </row>
    <row r="64" spans="1:20" hidden="1" outlineLevel="1" x14ac:dyDescent="0.25">
      <c r="B64" s="136"/>
      <c r="C64" s="136" t="s">
        <v>749</v>
      </c>
      <c r="D64" s="206" t="s">
        <v>750</v>
      </c>
      <c r="E64" s="202"/>
      <c r="F64" s="205"/>
      <c r="G64" s="197">
        <v>0.5</v>
      </c>
      <c r="H64" s="353">
        <v>13</v>
      </c>
      <c r="I64" s="198">
        <v>3030</v>
      </c>
      <c r="J64" s="387">
        <v>1.9</v>
      </c>
      <c r="K64" s="466"/>
      <c r="L64" s="440"/>
      <c r="M64" s="498"/>
      <c r="N64" s="116"/>
      <c r="O64" s="116"/>
      <c r="P64" s="116"/>
      <c r="Q64" s="418"/>
      <c r="R64" s="116"/>
      <c r="T64" s="8">
        <f t="shared" si="0"/>
        <v>0.61585365853658536</v>
      </c>
    </row>
    <row r="65" spans="1:20" hidden="1" outlineLevel="1" x14ac:dyDescent="0.25">
      <c r="B65" s="200"/>
      <c r="C65" s="136" t="s">
        <v>751</v>
      </c>
      <c r="D65" s="137" t="s">
        <v>752</v>
      </c>
      <c r="E65" s="202"/>
      <c r="F65" s="211"/>
      <c r="G65" s="197">
        <v>0.6</v>
      </c>
      <c r="H65" s="353">
        <v>15</v>
      </c>
      <c r="I65" s="198">
        <v>2250</v>
      </c>
      <c r="J65" s="387">
        <v>2.2999999999999998</v>
      </c>
      <c r="K65" s="466"/>
      <c r="L65" s="440"/>
      <c r="M65" s="498"/>
      <c r="N65" s="116"/>
      <c r="O65" s="116"/>
      <c r="P65" s="116"/>
      <c r="Q65" s="418"/>
      <c r="R65" s="116"/>
      <c r="T65" s="8">
        <f t="shared" si="0"/>
        <v>0.45731707317073172</v>
      </c>
    </row>
    <row r="66" spans="1:20" hidden="1" outlineLevel="1" x14ac:dyDescent="0.25">
      <c r="A66" s="137"/>
      <c r="B66" s="200"/>
      <c r="C66" s="136" t="s">
        <v>753</v>
      </c>
      <c r="D66" s="137" t="s">
        <v>754</v>
      </c>
      <c r="E66" s="202"/>
      <c r="F66" s="211"/>
      <c r="G66" s="197">
        <v>0.1</v>
      </c>
      <c r="H66" s="353">
        <v>4</v>
      </c>
      <c r="I66" s="198">
        <v>820</v>
      </c>
      <c r="J66" s="387">
        <v>4.0999999999999996</v>
      </c>
      <c r="K66" s="466"/>
      <c r="L66" s="440"/>
      <c r="M66" s="498"/>
      <c r="N66" s="116"/>
      <c r="O66" s="116"/>
      <c r="P66" s="116"/>
      <c r="Q66" s="418"/>
      <c r="R66" s="116"/>
      <c r="T66" s="8">
        <f t="shared" si="0"/>
        <v>0.16666666666666666</v>
      </c>
    </row>
    <row r="67" spans="1:20" hidden="1" outlineLevel="1" x14ac:dyDescent="0.25">
      <c r="A67" s="137"/>
      <c r="B67" s="200"/>
      <c r="C67" s="136" t="s">
        <v>755</v>
      </c>
      <c r="D67" s="206" t="s">
        <v>756</v>
      </c>
      <c r="E67" s="202"/>
      <c r="F67" s="206" t="s">
        <v>536</v>
      </c>
      <c r="G67" s="197">
        <v>0.5</v>
      </c>
      <c r="H67" s="353">
        <v>15</v>
      </c>
      <c r="I67" s="198">
        <v>1680</v>
      </c>
      <c r="J67" s="387">
        <v>3.7</v>
      </c>
      <c r="K67" s="466"/>
      <c r="L67" s="440"/>
      <c r="M67" s="498"/>
      <c r="N67" s="116"/>
      <c r="O67" s="116"/>
      <c r="P67" s="116"/>
      <c r="Q67" s="418"/>
      <c r="R67" s="116"/>
      <c r="T67" s="8">
        <f t="shared" si="0"/>
        <v>0.34146341463414637</v>
      </c>
    </row>
    <row r="68" spans="1:20" hidden="1" outlineLevel="1" x14ac:dyDescent="0.25">
      <c r="A68" s="137"/>
      <c r="B68" s="200"/>
      <c r="C68" s="136" t="s">
        <v>757</v>
      </c>
      <c r="D68" s="206" t="s">
        <v>758</v>
      </c>
      <c r="E68" s="202"/>
      <c r="F68" s="206" t="s">
        <v>536</v>
      </c>
      <c r="G68" s="197">
        <v>1.4</v>
      </c>
      <c r="H68" s="353">
        <v>37</v>
      </c>
      <c r="I68" s="198">
        <v>2610</v>
      </c>
      <c r="J68" s="387">
        <v>2.2000000000000002</v>
      </c>
      <c r="K68" s="466"/>
      <c r="L68" s="440"/>
      <c r="M68" s="498"/>
      <c r="N68" s="116"/>
      <c r="O68" s="116"/>
      <c r="P68" s="116"/>
      <c r="Q68" s="418"/>
      <c r="R68" s="116"/>
      <c r="T68" s="8">
        <f t="shared" si="0"/>
        <v>0.53048780487804881</v>
      </c>
    </row>
    <row r="69" spans="1:20" hidden="1" outlineLevel="1" x14ac:dyDescent="0.25">
      <c r="A69" s="137"/>
      <c r="B69" s="136" t="s">
        <v>759</v>
      </c>
      <c r="C69" s="136" t="s">
        <v>760</v>
      </c>
      <c r="D69" s="204"/>
      <c r="E69" s="202"/>
      <c r="F69" s="205"/>
      <c r="G69" s="197">
        <v>0.4</v>
      </c>
      <c r="H69" s="353">
        <v>11</v>
      </c>
      <c r="I69" s="198">
        <v>1440</v>
      </c>
      <c r="J69" s="387">
        <v>3.4</v>
      </c>
      <c r="K69" s="466"/>
      <c r="L69" s="440"/>
      <c r="M69" s="498"/>
      <c r="N69" s="116"/>
      <c r="O69" s="116"/>
      <c r="P69" s="116"/>
      <c r="Q69" s="418"/>
      <c r="R69" s="116"/>
      <c r="T69" s="8">
        <f t="shared" si="0"/>
        <v>0.29268292682926828</v>
      </c>
    </row>
    <row r="70" spans="1:20" hidden="1" outlineLevel="1" x14ac:dyDescent="0.25">
      <c r="A70" s="137"/>
      <c r="B70" s="136" t="s">
        <v>761</v>
      </c>
      <c r="C70" s="201" t="s">
        <v>762</v>
      </c>
      <c r="D70" s="137"/>
      <c r="E70" s="202"/>
      <c r="F70" s="204"/>
      <c r="G70" s="197">
        <v>0.7</v>
      </c>
      <c r="H70" s="353">
        <v>20</v>
      </c>
      <c r="I70" s="198">
        <v>1770</v>
      </c>
      <c r="J70" s="387">
        <v>3.3</v>
      </c>
      <c r="K70" s="466"/>
      <c r="L70" s="440"/>
      <c r="M70" s="498"/>
      <c r="N70" s="116"/>
      <c r="O70" s="116"/>
      <c r="P70" s="116"/>
      <c r="Q70" s="418"/>
      <c r="R70" s="116"/>
      <c r="T70" s="8">
        <f t="shared" si="0"/>
        <v>0.3597560975609756</v>
      </c>
    </row>
    <row r="71" spans="1:20" hidden="1" outlineLevel="1" x14ac:dyDescent="0.25">
      <c r="A71" s="137"/>
      <c r="B71" s="136" t="s">
        <v>763</v>
      </c>
      <c r="C71" s="201" t="s">
        <v>764</v>
      </c>
      <c r="D71" s="137"/>
      <c r="E71" s="202"/>
      <c r="F71" s="204"/>
      <c r="G71" s="197">
        <v>0.2</v>
      </c>
      <c r="H71" s="353">
        <v>4</v>
      </c>
      <c r="I71" s="198">
        <v>780</v>
      </c>
      <c r="J71" s="387">
        <v>4.9000000000000004</v>
      </c>
      <c r="K71" s="466"/>
      <c r="L71" s="440"/>
      <c r="M71" s="498"/>
      <c r="N71" s="116"/>
      <c r="O71" s="116"/>
      <c r="P71" s="116"/>
      <c r="Q71" s="418"/>
      <c r="R71" s="116"/>
      <c r="T71" s="8">
        <f t="shared" si="0"/>
        <v>0.15853658536585366</v>
      </c>
    </row>
    <row r="72" spans="1:20" hidden="1" outlineLevel="1" x14ac:dyDescent="0.25">
      <c r="A72" s="200"/>
      <c r="B72" s="200"/>
      <c r="C72" s="200"/>
      <c r="D72" s="200"/>
      <c r="E72" s="200"/>
      <c r="F72" s="200"/>
      <c r="G72" s="197"/>
      <c r="H72" s="353"/>
      <c r="I72" s="198"/>
      <c r="J72" s="387"/>
      <c r="K72" s="466"/>
      <c r="L72" s="440"/>
      <c r="M72" s="498"/>
      <c r="N72" s="116"/>
      <c r="O72" s="116"/>
      <c r="P72" s="116"/>
      <c r="Q72" s="418"/>
      <c r="R72" s="116"/>
      <c r="T72" s="8">
        <f t="shared" si="0"/>
        <v>0</v>
      </c>
    </row>
    <row r="73" spans="1:20" hidden="1" outlineLevel="1" x14ac:dyDescent="0.25">
      <c r="A73" s="200"/>
      <c r="B73" s="136" t="s">
        <v>765</v>
      </c>
      <c r="C73" s="136" t="s">
        <v>766</v>
      </c>
      <c r="D73" s="137"/>
      <c r="E73" s="202"/>
      <c r="F73" s="204"/>
      <c r="G73" s="197">
        <v>4.0999999999999996</v>
      </c>
      <c r="H73" s="353">
        <v>111</v>
      </c>
      <c r="I73" s="198">
        <v>4450</v>
      </c>
      <c r="J73" s="387">
        <v>1.6</v>
      </c>
      <c r="K73" s="466"/>
      <c r="L73" s="440"/>
      <c r="M73" s="498"/>
      <c r="N73" s="116"/>
      <c r="O73" s="116"/>
      <c r="P73" s="116"/>
      <c r="Q73" s="418"/>
      <c r="R73" s="116"/>
      <c r="T73" s="8">
        <f t="shared" si="0"/>
        <v>0.90447154471544711</v>
      </c>
    </row>
    <row r="74" spans="1:20" hidden="1" outlineLevel="1" x14ac:dyDescent="0.25">
      <c r="A74" s="84"/>
      <c r="B74" s="200"/>
      <c r="C74" s="136" t="s">
        <v>767</v>
      </c>
      <c r="D74" s="137" t="s">
        <v>768</v>
      </c>
      <c r="E74" s="202"/>
      <c r="F74" s="204"/>
      <c r="G74" s="197">
        <v>0.9</v>
      </c>
      <c r="H74" s="353">
        <v>25</v>
      </c>
      <c r="I74" s="198">
        <v>3170</v>
      </c>
      <c r="J74" s="387">
        <v>2.2999999999999998</v>
      </c>
      <c r="K74" s="466"/>
      <c r="L74" s="440"/>
      <c r="M74" s="498"/>
      <c r="N74" s="116"/>
      <c r="O74" s="116"/>
      <c r="P74" s="116"/>
      <c r="Q74" s="418"/>
      <c r="R74" s="116"/>
      <c r="T74" s="8">
        <f t="shared" si="0"/>
        <v>0.64430894308943087</v>
      </c>
    </row>
    <row r="75" spans="1:20" hidden="1" outlineLevel="1" x14ac:dyDescent="0.25">
      <c r="A75" s="84"/>
      <c r="B75" s="200"/>
      <c r="C75" s="136" t="s">
        <v>769</v>
      </c>
      <c r="D75" s="137" t="s">
        <v>770</v>
      </c>
      <c r="E75" s="202"/>
      <c r="F75" s="204"/>
      <c r="G75" s="197">
        <v>0.4</v>
      </c>
      <c r="H75" s="353">
        <v>10</v>
      </c>
      <c r="I75" s="198">
        <v>2250</v>
      </c>
      <c r="J75" s="387">
        <v>2.4</v>
      </c>
      <c r="K75" s="466"/>
      <c r="L75" s="440"/>
      <c r="M75" s="498"/>
      <c r="N75" s="116"/>
      <c r="O75" s="116"/>
      <c r="P75" s="116"/>
      <c r="Q75" s="418"/>
      <c r="R75" s="116"/>
      <c r="T75" s="8">
        <f t="shared" si="0"/>
        <v>0.45731707317073172</v>
      </c>
    </row>
    <row r="76" spans="1:20" hidden="1" outlineLevel="1" x14ac:dyDescent="0.25">
      <c r="A76" s="84"/>
      <c r="B76" s="200"/>
      <c r="C76" s="136" t="s">
        <v>771</v>
      </c>
      <c r="D76" s="137" t="s">
        <v>772</v>
      </c>
      <c r="E76" s="202"/>
      <c r="F76" s="204"/>
      <c r="G76" s="197">
        <v>1.4</v>
      </c>
      <c r="H76" s="353">
        <v>38</v>
      </c>
      <c r="I76" s="198">
        <v>3720</v>
      </c>
      <c r="J76" s="387">
        <v>1.7</v>
      </c>
      <c r="K76" s="466"/>
      <c r="L76" s="440"/>
      <c r="M76" s="498"/>
      <c r="N76" s="116"/>
      <c r="O76" s="116"/>
      <c r="P76" s="116"/>
      <c r="Q76" s="418"/>
      <c r="R76" s="116"/>
      <c r="T76" s="8">
        <f t="shared" si="0"/>
        <v>0.75609756097560976</v>
      </c>
    </row>
    <row r="77" spans="1:20" hidden="1" outlineLevel="1" x14ac:dyDescent="0.25">
      <c r="A77" s="84"/>
      <c r="B77" s="200"/>
      <c r="C77" s="136" t="s">
        <v>773</v>
      </c>
      <c r="D77" s="137" t="s">
        <v>774</v>
      </c>
      <c r="E77" s="202"/>
      <c r="F77" s="204"/>
      <c r="G77" s="197">
        <v>1.4</v>
      </c>
      <c r="H77" s="353">
        <v>39</v>
      </c>
      <c r="I77" s="198">
        <v>3980</v>
      </c>
      <c r="J77" s="387">
        <v>2</v>
      </c>
      <c r="K77" s="466"/>
      <c r="L77" s="440"/>
      <c r="M77" s="498"/>
      <c r="N77" s="116"/>
      <c r="O77" s="116"/>
      <c r="P77" s="116"/>
      <c r="Q77" s="418"/>
      <c r="R77" s="116"/>
      <c r="T77" s="8">
        <f t="shared" si="0"/>
        <v>0.80894308943089432</v>
      </c>
    </row>
    <row r="78" spans="1:20" hidden="1" outlineLevel="1" x14ac:dyDescent="0.25">
      <c r="A78" s="168"/>
      <c r="B78" s="212"/>
      <c r="C78" s="213"/>
      <c r="D78" s="214"/>
      <c r="E78" s="215"/>
      <c r="F78" s="216"/>
      <c r="G78" s="290"/>
      <c r="H78" s="354"/>
      <c r="I78" s="291"/>
      <c r="J78" s="325"/>
      <c r="K78" s="472"/>
      <c r="L78" s="442"/>
      <c r="M78" s="498"/>
      <c r="N78" s="116"/>
      <c r="O78" s="116"/>
      <c r="P78" s="116"/>
      <c r="Q78" s="418"/>
      <c r="R78" s="116"/>
      <c r="T78" s="8">
        <f t="shared" si="0"/>
        <v>0</v>
      </c>
    </row>
    <row r="79" spans="1:20" hidden="1" outlineLevel="1" x14ac:dyDescent="0.25">
      <c r="A79" s="84"/>
      <c r="B79" s="200"/>
      <c r="C79" s="136"/>
      <c r="D79" s="137"/>
      <c r="E79" s="202"/>
      <c r="F79" s="204"/>
      <c r="G79" s="197"/>
      <c r="H79" s="353"/>
      <c r="I79" s="198"/>
      <c r="J79" s="199"/>
      <c r="K79" s="472"/>
      <c r="L79" s="442"/>
      <c r="M79" s="498"/>
      <c r="N79" s="116"/>
      <c r="O79" s="116"/>
      <c r="P79" s="116"/>
      <c r="Q79" s="418"/>
      <c r="R79" s="116"/>
      <c r="T79" s="8">
        <f t="shared" si="0"/>
        <v>0</v>
      </c>
    </row>
    <row r="80" spans="1:20" hidden="1" outlineLevel="1" x14ac:dyDescent="0.25">
      <c r="A80" s="43" t="s">
        <v>775</v>
      </c>
      <c r="B80" s="200"/>
      <c r="C80" s="136"/>
      <c r="D80" s="137"/>
      <c r="E80" s="202"/>
      <c r="F80" s="204"/>
      <c r="G80" s="197"/>
      <c r="H80" s="353"/>
      <c r="I80" s="198"/>
      <c r="J80" s="199"/>
      <c r="K80" s="472"/>
      <c r="L80" s="442"/>
      <c r="M80" s="498"/>
      <c r="N80" s="116"/>
      <c r="O80" s="116"/>
      <c r="P80" s="116"/>
      <c r="Q80" s="418"/>
      <c r="R80" s="116"/>
      <c r="T80" s="8">
        <f t="shared" si="0"/>
        <v>0</v>
      </c>
    </row>
    <row r="81" spans="1:20" hidden="1" outlineLevel="1" x14ac:dyDescent="0.25">
      <c r="A81" s="43" t="s">
        <v>776</v>
      </c>
      <c r="B81" s="200"/>
      <c r="C81" s="136"/>
      <c r="D81" s="137"/>
      <c r="E81" s="202"/>
      <c r="F81" s="204"/>
      <c r="G81" s="197"/>
      <c r="H81" s="353"/>
      <c r="I81" s="198"/>
      <c r="J81" s="199"/>
      <c r="K81" s="472"/>
      <c r="L81" s="442"/>
      <c r="M81" s="498"/>
      <c r="N81" s="116"/>
      <c r="O81" s="116"/>
      <c r="P81" s="116"/>
      <c r="Q81" s="418"/>
      <c r="R81" s="116"/>
      <c r="T81" s="8">
        <f t="shared" si="0"/>
        <v>0</v>
      </c>
    </row>
    <row r="82" spans="1:20" hidden="1" outlineLevel="1" x14ac:dyDescent="0.25">
      <c r="A82" s="43" t="s">
        <v>613</v>
      </c>
      <c r="B82" s="200"/>
      <c r="C82" s="136"/>
      <c r="D82" s="137"/>
      <c r="E82" s="202"/>
      <c r="F82" s="204"/>
      <c r="G82" s="197"/>
      <c r="H82" s="353"/>
      <c r="I82" s="198"/>
      <c r="J82" s="199"/>
      <c r="K82" s="473"/>
      <c r="L82" s="443"/>
      <c r="M82" s="498"/>
      <c r="N82" s="116"/>
      <c r="O82" s="116"/>
      <c r="P82" s="116"/>
      <c r="Q82" s="418"/>
      <c r="R82" s="116"/>
      <c r="T82" s="8">
        <f t="shared" ref="T82:T145" si="1">I82/$I$11</f>
        <v>0</v>
      </c>
    </row>
    <row r="83" spans="1:20" hidden="1" outlineLevel="1" x14ac:dyDescent="0.25">
      <c r="A83" s="84"/>
      <c r="B83" s="200"/>
      <c r="C83" s="136"/>
      <c r="D83" s="137"/>
      <c r="E83" s="202"/>
      <c r="F83" s="204"/>
      <c r="G83" s="197"/>
      <c r="H83" s="353"/>
      <c r="I83" s="198"/>
      <c r="J83" s="199"/>
      <c r="K83" s="473"/>
      <c r="L83" s="443"/>
      <c r="M83" s="498"/>
      <c r="N83" s="116"/>
      <c r="O83" s="116"/>
      <c r="P83" s="116"/>
      <c r="Q83" s="418"/>
      <c r="R83" s="116"/>
      <c r="T83" s="8">
        <f t="shared" si="1"/>
        <v>0</v>
      </c>
    </row>
    <row r="84" spans="1:20" hidden="1" outlineLevel="1" x14ac:dyDescent="0.25">
      <c r="A84" s="220"/>
      <c r="B84" s="128"/>
      <c r="C84" s="84"/>
      <c r="D84" s="84"/>
      <c r="E84" s="84"/>
      <c r="F84" s="84"/>
      <c r="G84" s="192"/>
      <c r="H84" s="352"/>
      <c r="I84" s="193"/>
      <c r="J84" s="194"/>
      <c r="K84" s="473"/>
      <c r="L84" s="443"/>
      <c r="M84" s="498"/>
      <c r="N84" s="116"/>
      <c r="O84" s="116"/>
      <c r="P84" s="116"/>
      <c r="Q84" s="418"/>
      <c r="R84" s="116"/>
      <c r="T84" s="8">
        <f t="shared" si="1"/>
        <v>0</v>
      </c>
    </row>
    <row r="85" spans="1:20" hidden="1" outlineLevel="1" x14ac:dyDescent="0.25">
      <c r="A85" s="84"/>
      <c r="B85" s="128"/>
      <c r="C85" s="84"/>
      <c r="D85" s="84"/>
      <c r="E85" s="84"/>
      <c r="F85" s="84"/>
      <c r="G85" s="192"/>
      <c r="H85" s="352"/>
      <c r="I85" s="193"/>
      <c r="J85" s="194"/>
      <c r="K85" s="473"/>
      <c r="L85" s="443"/>
      <c r="M85" s="498"/>
      <c r="N85" s="116"/>
      <c r="O85" s="116"/>
      <c r="P85" s="116"/>
      <c r="Q85" s="418"/>
      <c r="R85" s="116"/>
      <c r="T85" s="8">
        <f t="shared" si="1"/>
        <v>0</v>
      </c>
    </row>
    <row r="86" spans="1:20" ht="15.75" hidden="1" outlineLevel="1" x14ac:dyDescent="0.25">
      <c r="A86" s="334" t="s">
        <v>648</v>
      </c>
      <c r="B86" s="128"/>
      <c r="C86" s="84"/>
      <c r="D86" s="84"/>
      <c r="E86" s="84"/>
      <c r="F86" s="84"/>
      <c r="G86" s="192"/>
      <c r="H86" s="352"/>
      <c r="I86" s="193"/>
      <c r="J86" s="194"/>
      <c r="K86" s="473"/>
      <c r="L86" s="443"/>
      <c r="M86" s="498"/>
      <c r="N86" s="116"/>
      <c r="O86" s="116"/>
      <c r="P86" s="116"/>
      <c r="Q86" s="418"/>
      <c r="R86" s="116"/>
      <c r="T86" s="8">
        <f t="shared" si="1"/>
        <v>0</v>
      </c>
    </row>
    <row r="87" spans="1:20" ht="35.25" hidden="1" outlineLevel="1" x14ac:dyDescent="0.25">
      <c r="A87" s="103" t="s">
        <v>777</v>
      </c>
      <c r="B87" s="119"/>
      <c r="C87" s="126"/>
      <c r="D87" s="221"/>
      <c r="E87" s="221"/>
      <c r="F87" s="222"/>
      <c r="G87" s="303"/>
      <c r="H87" s="355"/>
      <c r="I87" s="304"/>
      <c r="J87" s="305"/>
      <c r="K87" s="473"/>
      <c r="L87" s="443"/>
      <c r="M87" s="498"/>
      <c r="N87" s="116"/>
      <c r="O87" s="116"/>
      <c r="P87" s="116"/>
      <c r="Q87" s="418"/>
      <c r="R87" s="116"/>
      <c r="T87" s="8">
        <f t="shared" si="1"/>
        <v>0</v>
      </c>
    </row>
    <row r="88" spans="1:20" ht="18" hidden="1" outlineLevel="1" x14ac:dyDescent="0.25">
      <c r="A88" s="339" t="s">
        <v>643</v>
      </c>
      <c r="B88" s="340"/>
      <c r="C88" s="337"/>
      <c r="D88" s="341"/>
      <c r="E88" s="221"/>
      <c r="F88" s="222"/>
      <c r="G88" s="303"/>
      <c r="H88" s="355"/>
      <c r="I88" s="304"/>
      <c r="J88" s="306"/>
      <c r="K88" s="473"/>
      <c r="L88" s="443"/>
      <c r="M88" s="498"/>
      <c r="N88" s="116"/>
      <c r="O88" s="116"/>
      <c r="P88" s="116"/>
      <c r="Q88" s="418"/>
      <c r="R88" s="116"/>
      <c r="T88" s="8">
        <f t="shared" si="1"/>
        <v>0</v>
      </c>
    </row>
    <row r="89" spans="1:20" hidden="1" outlineLevel="1" x14ac:dyDescent="0.25">
      <c r="A89" s="129"/>
      <c r="B89" s="129"/>
      <c r="C89" s="130"/>
      <c r="D89" s="131"/>
      <c r="E89" s="131"/>
      <c r="F89" s="131"/>
      <c r="G89" s="132"/>
      <c r="H89" s="348"/>
      <c r="I89" s="133"/>
      <c r="J89" s="134"/>
      <c r="K89" s="473"/>
      <c r="L89" s="443"/>
      <c r="M89" s="498"/>
      <c r="N89" s="116"/>
      <c r="O89" s="116"/>
      <c r="P89" s="116"/>
      <c r="Q89" s="418"/>
      <c r="R89" s="116"/>
      <c r="T89" s="8">
        <f t="shared" si="1"/>
        <v>0</v>
      </c>
    </row>
    <row r="90" spans="1:20" hidden="1" outlineLevel="1" x14ac:dyDescent="0.25">
      <c r="A90" s="128"/>
      <c r="B90" s="128"/>
      <c r="C90" s="137"/>
      <c r="D90" s="138"/>
      <c r="E90" s="138"/>
      <c r="F90" s="138"/>
      <c r="G90" s="171"/>
      <c r="H90" s="349"/>
      <c r="I90" s="172"/>
      <c r="J90" s="271"/>
      <c r="K90" s="473"/>
      <c r="L90" s="443"/>
      <c r="M90" s="498"/>
      <c r="N90" s="116"/>
      <c r="O90" s="116"/>
      <c r="P90" s="116"/>
      <c r="Q90" s="418"/>
      <c r="R90" s="116"/>
      <c r="T90" s="8">
        <f t="shared" si="1"/>
        <v>0</v>
      </c>
    </row>
    <row r="91" spans="1:20" hidden="1" outlineLevel="1" x14ac:dyDescent="0.25">
      <c r="A91" s="224"/>
      <c r="B91" s="224"/>
      <c r="C91" s="225"/>
      <c r="D91" s="226"/>
      <c r="E91" s="226"/>
      <c r="F91" s="144"/>
      <c r="G91" s="280" t="s">
        <v>650</v>
      </c>
      <c r="H91" s="356" t="s">
        <v>284</v>
      </c>
      <c r="I91" s="281" t="s">
        <v>651</v>
      </c>
      <c r="J91" s="307" t="s">
        <v>652</v>
      </c>
      <c r="K91" s="473"/>
      <c r="L91" s="443"/>
      <c r="M91" s="498"/>
      <c r="N91" s="116"/>
      <c r="O91" s="116"/>
      <c r="P91" s="116"/>
      <c r="Q91" s="418"/>
      <c r="R91" s="116"/>
      <c r="T91" s="8" t="e">
        <f t="shared" si="1"/>
        <v>#VALUE!</v>
      </c>
    </row>
    <row r="92" spans="1:20" hidden="1" outlineLevel="1" x14ac:dyDescent="0.25">
      <c r="A92" s="224"/>
      <c r="B92" s="224"/>
      <c r="C92" s="227"/>
      <c r="D92" s="226"/>
      <c r="E92" s="226"/>
      <c r="F92" s="144"/>
      <c r="G92" s="308" t="s">
        <v>653</v>
      </c>
      <c r="H92" s="356" t="s">
        <v>654</v>
      </c>
      <c r="I92" s="281" t="s">
        <v>655</v>
      </c>
      <c r="J92" s="307" t="s">
        <v>656</v>
      </c>
      <c r="K92" s="473"/>
      <c r="L92" s="443"/>
      <c r="M92" s="498"/>
      <c r="N92" s="116"/>
      <c r="O92" s="116"/>
      <c r="P92" s="116"/>
      <c r="Q92" s="418"/>
      <c r="R92" s="116"/>
      <c r="T92" s="8" t="e">
        <f t="shared" si="1"/>
        <v>#VALUE!</v>
      </c>
    </row>
    <row r="93" spans="1:20" hidden="1" outlineLevel="1" x14ac:dyDescent="0.25">
      <c r="A93" s="224"/>
      <c r="B93" s="224"/>
      <c r="C93" s="227"/>
      <c r="D93" s="226"/>
      <c r="E93" s="226"/>
      <c r="F93" s="144"/>
      <c r="G93" s="280" t="s">
        <v>657</v>
      </c>
      <c r="H93" s="356" t="s">
        <v>653</v>
      </c>
      <c r="I93" s="281" t="s">
        <v>658</v>
      </c>
      <c r="J93" s="71" t="s">
        <v>659</v>
      </c>
      <c r="K93" s="473"/>
      <c r="L93" s="443"/>
      <c r="M93" s="498"/>
      <c r="N93" s="116"/>
      <c r="O93" s="116"/>
      <c r="P93" s="116"/>
      <c r="Q93" s="418"/>
      <c r="R93" s="116"/>
      <c r="T93" s="8" t="e">
        <f t="shared" si="1"/>
        <v>#VALUE!</v>
      </c>
    </row>
    <row r="94" spans="1:20" hidden="1" outlineLevel="1" x14ac:dyDescent="0.25">
      <c r="A94" s="224"/>
      <c r="B94" s="224"/>
      <c r="C94" s="227"/>
      <c r="D94" s="226"/>
      <c r="E94" s="226"/>
      <c r="F94" s="144"/>
      <c r="G94" s="308" t="s">
        <v>660</v>
      </c>
      <c r="H94" s="356" t="s">
        <v>661</v>
      </c>
      <c r="I94" s="281" t="s">
        <v>662</v>
      </c>
      <c r="J94" s="309" t="s">
        <v>663</v>
      </c>
      <c r="K94" s="473"/>
      <c r="L94" s="443"/>
      <c r="M94" s="498"/>
      <c r="N94" s="116"/>
      <c r="O94" s="116"/>
      <c r="P94" s="116"/>
      <c r="Q94" s="418"/>
      <c r="R94" s="116"/>
      <c r="T94" s="8" t="e">
        <f t="shared" si="1"/>
        <v>#VALUE!</v>
      </c>
    </row>
    <row r="95" spans="1:20" hidden="1" outlineLevel="1" x14ac:dyDescent="0.25">
      <c r="A95" s="129"/>
      <c r="B95" s="129"/>
      <c r="C95" s="130"/>
      <c r="D95" s="131"/>
      <c r="E95" s="131"/>
      <c r="F95" s="131"/>
      <c r="G95" s="132"/>
      <c r="H95" s="348"/>
      <c r="I95" s="133"/>
      <c r="J95" s="131"/>
      <c r="K95" s="473"/>
      <c r="L95" s="443"/>
      <c r="M95" s="498"/>
      <c r="N95" s="116"/>
      <c r="O95" s="116"/>
      <c r="P95" s="116"/>
      <c r="Q95" s="418"/>
      <c r="R95" s="116"/>
      <c r="T95" s="8">
        <f t="shared" si="1"/>
        <v>0</v>
      </c>
    </row>
    <row r="96" spans="1:20" hidden="1" outlineLevel="1" x14ac:dyDescent="0.25">
      <c r="A96" s="118"/>
      <c r="B96" s="128"/>
      <c r="C96" s="156"/>
      <c r="D96" s="157"/>
      <c r="E96" s="157"/>
      <c r="F96" s="138"/>
      <c r="G96" s="158"/>
      <c r="H96" s="258"/>
      <c r="I96" s="159"/>
      <c r="J96" s="157"/>
      <c r="K96" s="473"/>
      <c r="L96" s="443"/>
      <c r="M96" s="498"/>
      <c r="N96" s="116"/>
      <c r="O96" s="116"/>
      <c r="P96" s="116"/>
      <c r="Q96" s="418"/>
      <c r="R96" s="116"/>
      <c r="T96" s="8">
        <f t="shared" si="1"/>
        <v>0</v>
      </c>
    </row>
    <row r="97" spans="1:20" hidden="1" outlineLevel="1" x14ac:dyDescent="0.25">
      <c r="A97" s="174" t="s">
        <v>607</v>
      </c>
      <c r="B97" s="175"/>
      <c r="C97" s="176"/>
      <c r="D97" s="164"/>
      <c r="E97" s="164"/>
      <c r="F97" s="177" t="s">
        <v>536</v>
      </c>
      <c r="G97" s="178"/>
      <c r="H97" s="350"/>
      <c r="I97" s="179"/>
      <c r="J97" s="164"/>
      <c r="K97" s="473"/>
      <c r="L97" s="443"/>
      <c r="M97" s="498"/>
      <c r="N97" s="116"/>
      <c r="O97" s="116"/>
      <c r="P97" s="116"/>
      <c r="Q97" s="418"/>
      <c r="R97" s="116"/>
      <c r="T97" s="8">
        <f t="shared" si="1"/>
        <v>0</v>
      </c>
    </row>
    <row r="98" spans="1:20" hidden="1" outlineLevel="1" x14ac:dyDescent="0.25">
      <c r="A98" s="180"/>
      <c r="B98" s="180"/>
      <c r="C98" s="181"/>
      <c r="D98" s="135"/>
      <c r="E98" s="135"/>
      <c r="F98" s="182"/>
      <c r="G98" s="171"/>
      <c r="H98" s="349"/>
      <c r="I98" s="172"/>
      <c r="J98" s="173"/>
      <c r="K98" s="474"/>
      <c r="L98" s="444"/>
      <c r="M98" s="480"/>
      <c r="N98" s="116"/>
      <c r="O98" s="116"/>
      <c r="P98" s="116"/>
      <c r="Q98" s="418"/>
      <c r="R98" s="116"/>
      <c r="T98" s="8">
        <f t="shared" si="1"/>
        <v>0</v>
      </c>
    </row>
    <row r="99" spans="1:20" hidden="1" outlineLevel="1" x14ac:dyDescent="0.25">
      <c r="A99" s="84"/>
      <c r="B99" s="128"/>
      <c r="C99" s="84"/>
      <c r="D99" s="84"/>
      <c r="E99" s="84"/>
      <c r="F99" s="84"/>
      <c r="G99" s="192"/>
      <c r="H99" s="352"/>
      <c r="I99" s="193"/>
      <c r="J99" s="194"/>
      <c r="K99" s="474"/>
      <c r="L99" s="444"/>
      <c r="M99" s="480"/>
      <c r="N99" s="116"/>
      <c r="O99" s="116"/>
      <c r="P99" s="116"/>
      <c r="Q99" s="418"/>
      <c r="R99" s="116"/>
      <c r="T99" s="8">
        <f t="shared" si="1"/>
        <v>0</v>
      </c>
    </row>
    <row r="100" spans="1:20" hidden="1" outlineLevel="1" x14ac:dyDescent="0.25">
      <c r="A100" s="184">
        <v>1</v>
      </c>
      <c r="B100" s="228" t="s">
        <v>778</v>
      </c>
      <c r="C100" s="229"/>
      <c r="D100" s="230"/>
      <c r="E100" s="230"/>
      <c r="F100" s="84"/>
      <c r="G100" s="192"/>
      <c r="H100" s="352"/>
      <c r="I100" s="193"/>
      <c r="J100" s="194"/>
      <c r="K100" s="474"/>
      <c r="L100" s="444"/>
      <c r="M100" s="481"/>
      <c r="N100" s="116"/>
      <c r="O100" s="116"/>
      <c r="P100" s="116"/>
      <c r="Q100" s="418"/>
      <c r="R100" s="116"/>
      <c r="T100" s="8">
        <f t="shared" si="1"/>
        <v>0</v>
      </c>
    </row>
    <row r="101" spans="1:20" hidden="1" outlineLevel="1" x14ac:dyDescent="0.25">
      <c r="A101" s="232"/>
      <c r="B101" s="233"/>
      <c r="C101" s="84"/>
      <c r="D101" s="191"/>
      <c r="E101" s="191"/>
      <c r="F101" s="84"/>
      <c r="G101" s="192"/>
      <c r="H101" s="352"/>
      <c r="I101" s="193"/>
      <c r="J101" s="194"/>
      <c r="K101" s="474"/>
      <c r="L101" s="444"/>
      <c r="M101" s="481"/>
      <c r="N101" s="116"/>
      <c r="O101" s="116"/>
      <c r="P101" s="116"/>
      <c r="Q101" s="418"/>
      <c r="R101" s="116"/>
      <c r="T101" s="8">
        <f t="shared" si="1"/>
        <v>0</v>
      </c>
    </row>
    <row r="102" spans="1:20" hidden="1" outlineLevel="1" x14ac:dyDescent="0.25">
      <c r="A102" s="137"/>
      <c r="B102" s="136" t="s">
        <v>779</v>
      </c>
      <c r="C102" s="136" t="s">
        <v>780</v>
      </c>
      <c r="D102" s="137"/>
      <c r="E102" s="202"/>
      <c r="F102" s="204"/>
      <c r="G102" s="197">
        <v>0.1</v>
      </c>
      <c r="H102" s="353">
        <v>1</v>
      </c>
      <c r="I102" s="198">
        <v>250</v>
      </c>
      <c r="J102" s="199">
        <v>9.1</v>
      </c>
      <c r="K102" s="475"/>
      <c r="L102" s="445"/>
      <c r="M102" s="499"/>
      <c r="N102" s="116"/>
      <c r="O102" s="116"/>
      <c r="P102" s="116"/>
      <c r="Q102" s="418"/>
      <c r="R102" s="116"/>
      <c r="T102" s="8">
        <f t="shared" si="1"/>
        <v>5.08130081300813E-2</v>
      </c>
    </row>
    <row r="103" spans="1:20" hidden="1" outlineLevel="1" x14ac:dyDescent="0.25">
      <c r="A103" s="137"/>
      <c r="B103" s="136" t="s">
        <v>781</v>
      </c>
      <c r="C103" s="136" t="s">
        <v>782</v>
      </c>
      <c r="D103" s="137"/>
      <c r="E103" s="202"/>
      <c r="F103" s="204"/>
      <c r="G103" s="197">
        <v>1.4</v>
      </c>
      <c r="H103" s="353">
        <v>39</v>
      </c>
      <c r="I103" s="198">
        <v>3570</v>
      </c>
      <c r="J103" s="199">
        <v>2</v>
      </c>
      <c r="K103" s="475"/>
      <c r="L103" s="445"/>
      <c r="M103" s="499"/>
      <c r="N103" s="116"/>
      <c r="O103" s="116"/>
      <c r="P103" s="116"/>
      <c r="Q103" s="418"/>
      <c r="R103" s="116"/>
      <c r="T103" s="8">
        <f t="shared" si="1"/>
        <v>0.72560975609756095</v>
      </c>
    </row>
    <row r="104" spans="1:20" hidden="1" outlineLevel="1" x14ac:dyDescent="0.25">
      <c r="A104" s="137"/>
      <c r="B104" s="136" t="s">
        <v>783</v>
      </c>
      <c r="C104" s="136" t="s">
        <v>784</v>
      </c>
      <c r="D104" s="137"/>
      <c r="E104" s="202"/>
      <c r="F104" s="204"/>
      <c r="G104" s="197">
        <v>0.8</v>
      </c>
      <c r="H104" s="353">
        <v>22</v>
      </c>
      <c r="I104" s="198">
        <v>3060</v>
      </c>
      <c r="J104" s="199">
        <v>1.8</v>
      </c>
      <c r="K104" s="475"/>
      <c r="L104" s="445"/>
      <c r="M104" s="499"/>
      <c r="N104" s="116"/>
      <c r="O104" s="116"/>
      <c r="P104" s="116"/>
      <c r="Q104" s="418"/>
      <c r="R104" s="116"/>
      <c r="T104" s="8">
        <f t="shared" si="1"/>
        <v>0.62195121951219512</v>
      </c>
    </row>
    <row r="105" spans="1:20" hidden="1" outlineLevel="1" x14ac:dyDescent="0.25">
      <c r="A105" s="137"/>
      <c r="B105" s="136" t="s">
        <v>785</v>
      </c>
      <c r="C105" s="136" t="s">
        <v>786</v>
      </c>
      <c r="D105" s="137"/>
      <c r="E105" s="202"/>
      <c r="F105" s="204"/>
      <c r="G105" s="197">
        <v>1.6</v>
      </c>
      <c r="H105" s="353">
        <v>43</v>
      </c>
      <c r="I105" s="198">
        <v>3530</v>
      </c>
      <c r="J105" s="199">
        <v>1.6</v>
      </c>
      <c r="K105" s="475"/>
      <c r="L105" s="445"/>
      <c r="M105" s="499"/>
      <c r="N105" s="116"/>
      <c r="O105" s="116"/>
      <c r="P105" s="116"/>
      <c r="Q105" s="418"/>
      <c r="R105" s="116"/>
      <c r="T105" s="8">
        <f t="shared" si="1"/>
        <v>0.71747967479674801</v>
      </c>
    </row>
    <row r="106" spans="1:20" hidden="1" outlineLevel="1" x14ac:dyDescent="0.25">
      <c r="A106" s="137"/>
      <c r="B106" s="136"/>
      <c r="C106" s="136"/>
      <c r="D106" s="137"/>
      <c r="E106" s="202"/>
      <c r="F106" s="204"/>
      <c r="G106" s="197"/>
      <c r="H106" s="353"/>
      <c r="I106" s="198"/>
      <c r="J106" s="199"/>
      <c r="K106" s="475"/>
      <c r="L106" s="445"/>
      <c r="M106" s="499"/>
      <c r="N106" s="116"/>
      <c r="O106" s="116"/>
      <c r="P106" s="116"/>
      <c r="Q106" s="418"/>
      <c r="R106" s="116"/>
      <c r="T106" s="8">
        <f t="shared" si="1"/>
        <v>0</v>
      </c>
    </row>
    <row r="107" spans="1:20" hidden="1" outlineLevel="1" x14ac:dyDescent="0.25">
      <c r="A107" s="137"/>
      <c r="B107" s="136" t="s">
        <v>787</v>
      </c>
      <c r="C107" s="136" t="s">
        <v>788</v>
      </c>
      <c r="D107" s="200"/>
      <c r="E107" s="202"/>
      <c r="F107" s="204"/>
      <c r="G107" s="197">
        <v>0.4</v>
      </c>
      <c r="H107" s="353">
        <v>10</v>
      </c>
      <c r="I107" s="198">
        <v>1690</v>
      </c>
      <c r="J107" s="199">
        <v>3.2</v>
      </c>
      <c r="K107" s="475"/>
      <c r="L107" s="445"/>
      <c r="M107" s="499"/>
      <c r="N107" s="116"/>
      <c r="O107" s="116"/>
      <c r="P107" s="116"/>
      <c r="Q107" s="418"/>
      <c r="R107" s="116"/>
      <c r="T107" s="8">
        <f t="shared" si="1"/>
        <v>0.3434959349593496</v>
      </c>
    </row>
    <row r="108" spans="1:20" hidden="1" outlineLevel="1" x14ac:dyDescent="0.25">
      <c r="A108" s="200"/>
      <c r="B108" s="200"/>
      <c r="C108" s="136" t="s">
        <v>789</v>
      </c>
      <c r="D108" s="136" t="s">
        <v>790</v>
      </c>
      <c r="E108" s="200"/>
      <c r="F108" s="200"/>
      <c r="G108" s="197">
        <v>0.2</v>
      </c>
      <c r="H108" s="353">
        <v>6</v>
      </c>
      <c r="I108" s="198">
        <v>1330</v>
      </c>
      <c r="J108" s="199">
        <v>3.8</v>
      </c>
      <c r="K108" s="475"/>
      <c r="L108" s="445"/>
      <c r="M108" s="499"/>
      <c r="N108" s="116"/>
      <c r="O108" s="116"/>
      <c r="P108" s="116"/>
      <c r="Q108" s="418"/>
      <c r="R108" s="116"/>
      <c r="T108" s="8">
        <f t="shared" si="1"/>
        <v>0.27032520325203252</v>
      </c>
    </row>
    <row r="109" spans="1:20" hidden="1" outlineLevel="1" x14ac:dyDescent="0.25">
      <c r="A109" s="200"/>
      <c r="B109" s="200"/>
      <c r="C109" s="136" t="s">
        <v>791</v>
      </c>
      <c r="D109" s="136" t="s">
        <v>792</v>
      </c>
      <c r="E109" s="200"/>
      <c r="F109" s="200"/>
      <c r="G109" s="197">
        <v>0.2</v>
      </c>
      <c r="H109" s="353">
        <v>4</v>
      </c>
      <c r="I109" s="198">
        <v>600</v>
      </c>
      <c r="J109" s="199">
        <v>5.2</v>
      </c>
      <c r="K109" s="475"/>
      <c r="L109" s="445"/>
      <c r="M109" s="499"/>
      <c r="N109" s="116"/>
      <c r="O109" s="116"/>
      <c r="P109" s="116"/>
      <c r="Q109" s="418"/>
      <c r="R109" s="116"/>
      <c r="T109" s="8">
        <f t="shared" si="1"/>
        <v>0.12195121951219512</v>
      </c>
    </row>
    <row r="110" spans="1:20" hidden="1" outlineLevel="1" x14ac:dyDescent="0.25">
      <c r="A110" s="200"/>
      <c r="B110" s="136" t="s">
        <v>793</v>
      </c>
      <c r="C110" s="136" t="s">
        <v>794</v>
      </c>
      <c r="D110" s="200"/>
      <c r="E110" s="200"/>
      <c r="F110" s="200"/>
      <c r="G110" s="197">
        <v>0.3</v>
      </c>
      <c r="H110" s="353">
        <v>8</v>
      </c>
      <c r="I110" s="198">
        <v>1370</v>
      </c>
      <c r="J110" s="199">
        <v>4.7</v>
      </c>
      <c r="K110" s="475"/>
      <c r="L110" s="445"/>
      <c r="M110" s="499"/>
      <c r="N110" s="116"/>
      <c r="O110" s="116"/>
      <c r="P110" s="116"/>
      <c r="Q110" s="418"/>
      <c r="R110" s="116"/>
      <c r="T110" s="8">
        <f t="shared" si="1"/>
        <v>0.27845528455284552</v>
      </c>
    </row>
    <row r="111" spans="1:20" hidden="1" outlineLevel="1" x14ac:dyDescent="0.25">
      <c r="A111" s="200"/>
      <c r="B111" s="136" t="s">
        <v>795</v>
      </c>
      <c r="C111" s="136" t="s">
        <v>796</v>
      </c>
      <c r="D111" s="200"/>
      <c r="E111" s="200"/>
      <c r="F111" s="200"/>
      <c r="G111" s="197">
        <v>1.9</v>
      </c>
      <c r="H111" s="353">
        <v>53</v>
      </c>
      <c r="I111" s="198">
        <v>3170</v>
      </c>
      <c r="J111" s="199">
        <v>3.1</v>
      </c>
      <c r="K111" s="475"/>
      <c r="L111" s="445"/>
      <c r="M111" s="499"/>
      <c r="N111" s="116"/>
      <c r="O111" s="116"/>
      <c r="P111" s="116"/>
      <c r="Q111" s="418"/>
      <c r="R111" s="116"/>
      <c r="T111" s="8">
        <f t="shared" si="1"/>
        <v>0.64430894308943087</v>
      </c>
    </row>
    <row r="112" spans="1:20" hidden="1" outlineLevel="1" x14ac:dyDescent="0.25">
      <c r="A112" s="200"/>
      <c r="B112" s="136" t="s">
        <v>797</v>
      </c>
      <c r="C112" s="136" t="s">
        <v>798</v>
      </c>
      <c r="D112" s="200"/>
      <c r="E112" s="200"/>
      <c r="F112" s="200"/>
      <c r="G112" s="197">
        <v>0.7</v>
      </c>
      <c r="H112" s="353">
        <v>20</v>
      </c>
      <c r="I112" s="198">
        <v>2350</v>
      </c>
      <c r="J112" s="199">
        <v>2.7</v>
      </c>
      <c r="K112" s="475"/>
      <c r="L112" s="445"/>
      <c r="M112" s="499"/>
      <c r="N112" s="116"/>
      <c r="O112" s="116"/>
      <c r="P112" s="116"/>
      <c r="Q112" s="418"/>
      <c r="R112" s="116"/>
      <c r="T112" s="8">
        <f t="shared" si="1"/>
        <v>0.47764227642276424</v>
      </c>
    </row>
    <row r="113" spans="1:20" hidden="1" outlineLevel="1" x14ac:dyDescent="0.25">
      <c r="A113" s="200"/>
      <c r="B113" s="136" t="s">
        <v>799</v>
      </c>
      <c r="C113" s="136" t="s">
        <v>800</v>
      </c>
      <c r="D113" s="200"/>
      <c r="E113" s="200"/>
      <c r="F113" s="200"/>
      <c r="G113" s="197">
        <v>0.6</v>
      </c>
      <c r="H113" s="353">
        <v>16</v>
      </c>
      <c r="I113" s="198">
        <v>1670</v>
      </c>
      <c r="J113" s="199">
        <v>2.9</v>
      </c>
      <c r="K113" s="475"/>
      <c r="L113" s="445"/>
      <c r="M113" s="499"/>
      <c r="N113" s="116"/>
      <c r="O113" s="116"/>
      <c r="P113" s="116"/>
      <c r="Q113" s="418"/>
      <c r="R113" s="116"/>
      <c r="T113" s="8">
        <f t="shared" si="1"/>
        <v>0.33943089430894308</v>
      </c>
    </row>
    <row r="114" spans="1:20" hidden="1" outlineLevel="1" x14ac:dyDescent="0.25">
      <c r="A114" s="200"/>
      <c r="B114" s="200"/>
      <c r="C114" s="136"/>
      <c r="D114" s="200"/>
      <c r="E114" s="200"/>
      <c r="F114" s="200"/>
      <c r="G114" s="197"/>
      <c r="H114" s="353"/>
      <c r="I114" s="198"/>
      <c r="J114" s="199"/>
      <c r="K114" s="475"/>
      <c r="L114" s="445"/>
      <c r="M114" s="499"/>
      <c r="N114" s="116"/>
      <c r="O114" s="116"/>
      <c r="P114" s="116"/>
      <c r="Q114" s="418"/>
      <c r="R114" s="116"/>
      <c r="T114" s="8">
        <f t="shared" si="1"/>
        <v>0</v>
      </c>
    </row>
    <row r="115" spans="1:20" hidden="1" outlineLevel="1" x14ac:dyDescent="0.25">
      <c r="A115" s="200"/>
      <c r="B115" s="136" t="s">
        <v>801</v>
      </c>
      <c r="C115" s="136" t="s">
        <v>802</v>
      </c>
      <c r="D115" s="137"/>
      <c r="E115" s="200"/>
      <c r="F115" s="200"/>
      <c r="G115" s="197">
        <v>2.5</v>
      </c>
      <c r="H115" s="353">
        <v>68</v>
      </c>
      <c r="I115" s="198">
        <v>4040</v>
      </c>
      <c r="J115" s="199">
        <v>1.9</v>
      </c>
      <c r="K115" s="475"/>
      <c r="L115" s="445"/>
      <c r="M115" s="499"/>
      <c r="N115" s="116"/>
      <c r="O115" s="116"/>
      <c r="P115" s="116"/>
      <c r="Q115" s="418"/>
      <c r="R115" s="116"/>
      <c r="T115" s="8">
        <f t="shared" si="1"/>
        <v>0.82113821138211385</v>
      </c>
    </row>
    <row r="116" spans="1:20" hidden="1" outlineLevel="1" x14ac:dyDescent="0.25">
      <c r="A116" s="137"/>
      <c r="B116" s="136"/>
      <c r="C116" s="136" t="s">
        <v>803</v>
      </c>
      <c r="D116" s="204" t="s">
        <v>804</v>
      </c>
      <c r="E116" s="202"/>
      <c r="F116" s="204"/>
      <c r="G116" s="197">
        <v>1.2</v>
      </c>
      <c r="H116" s="353">
        <v>33</v>
      </c>
      <c r="I116" s="198">
        <v>3280</v>
      </c>
      <c r="J116" s="199">
        <v>1.8</v>
      </c>
      <c r="K116" s="475"/>
      <c r="L116" s="445"/>
      <c r="M116" s="499"/>
      <c r="N116" s="116"/>
      <c r="O116" s="116"/>
      <c r="P116" s="116"/>
      <c r="Q116" s="418"/>
      <c r="R116" s="116"/>
      <c r="T116" s="8">
        <f t="shared" si="1"/>
        <v>0.66666666666666663</v>
      </c>
    </row>
    <row r="117" spans="1:20" hidden="1" outlineLevel="1" x14ac:dyDescent="0.25">
      <c r="A117" s="137"/>
      <c r="B117" s="136"/>
      <c r="C117" s="136" t="s">
        <v>805</v>
      </c>
      <c r="D117" s="206" t="s">
        <v>806</v>
      </c>
      <c r="E117" s="202"/>
      <c r="F117" s="205"/>
      <c r="G117" s="197">
        <v>1</v>
      </c>
      <c r="H117" s="353">
        <v>28</v>
      </c>
      <c r="I117" s="198">
        <v>2610</v>
      </c>
      <c r="J117" s="199">
        <v>3.7</v>
      </c>
      <c r="K117" s="475"/>
      <c r="L117" s="445"/>
      <c r="M117" s="499"/>
      <c r="N117" s="116"/>
      <c r="O117" s="116"/>
      <c r="P117" s="116"/>
      <c r="Q117" s="418"/>
      <c r="R117" s="116"/>
      <c r="T117" s="8">
        <f t="shared" si="1"/>
        <v>0.53048780487804881</v>
      </c>
    </row>
    <row r="118" spans="1:20" hidden="1" outlineLevel="1" x14ac:dyDescent="0.25">
      <c r="A118" s="137"/>
      <c r="B118" s="136"/>
      <c r="C118" s="136" t="s">
        <v>807</v>
      </c>
      <c r="D118" s="204" t="s">
        <v>808</v>
      </c>
      <c r="E118" s="202"/>
      <c r="F118" s="205"/>
      <c r="G118" s="197">
        <v>0.3</v>
      </c>
      <c r="H118" s="353">
        <v>7</v>
      </c>
      <c r="I118" s="198">
        <v>1130</v>
      </c>
      <c r="J118" s="199">
        <v>4.9000000000000004</v>
      </c>
      <c r="K118" s="475"/>
      <c r="L118" s="445"/>
      <c r="M118" s="499"/>
      <c r="N118" s="116"/>
      <c r="O118" s="116"/>
      <c r="P118" s="116"/>
      <c r="Q118" s="418"/>
      <c r="R118" s="116"/>
      <c r="T118" s="8">
        <f t="shared" si="1"/>
        <v>0.22967479674796748</v>
      </c>
    </row>
    <row r="119" spans="1:20" hidden="1" outlineLevel="1" x14ac:dyDescent="0.25">
      <c r="A119" s="137"/>
      <c r="B119" s="136"/>
      <c r="C119" s="136"/>
      <c r="D119" s="204"/>
      <c r="E119" s="202"/>
      <c r="F119" s="205"/>
      <c r="G119" s="197"/>
      <c r="H119" s="353"/>
      <c r="I119" s="198"/>
      <c r="J119" s="199"/>
      <c r="K119" s="475"/>
      <c r="L119" s="445"/>
      <c r="M119" s="512"/>
      <c r="N119" s="510"/>
      <c r="O119" s="510"/>
      <c r="P119" s="510"/>
      <c r="Q119" s="511"/>
      <c r="R119" s="510"/>
      <c r="T119" s="8">
        <f t="shared" si="1"/>
        <v>0</v>
      </c>
    </row>
    <row r="120" spans="1:20" outlineLevel="1" x14ac:dyDescent="0.25">
      <c r="A120" s="195">
        <v>1.2</v>
      </c>
      <c r="B120" s="155" t="s">
        <v>809</v>
      </c>
      <c r="C120" s="135"/>
      <c r="D120" s="191"/>
      <c r="E120" s="191"/>
      <c r="F120" s="205"/>
      <c r="G120" s="197">
        <v>4.5999999999999996</v>
      </c>
      <c r="H120" s="353">
        <v>126</v>
      </c>
      <c r="I120" s="198">
        <v>4380</v>
      </c>
      <c r="J120" s="199">
        <v>1.5</v>
      </c>
      <c r="K120" s="475"/>
      <c r="L120" s="446" t="str">
        <f>B120</f>
        <v>Non-alcoholic drinks</v>
      </c>
      <c r="M120" s="499">
        <v>0</v>
      </c>
      <c r="N120" s="116"/>
      <c r="O120" s="116"/>
      <c r="P120" s="116"/>
      <c r="Q120" s="418"/>
      <c r="R120" s="116"/>
      <c r="T120" s="8">
        <f t="shared" si="1"/>
        <v>0.8902439024390244</v>
      </c>
    </row>
    <row r="121" spans="1:20" hidden="1" outlineLevel="1" x14ac:dyDescent="0.25">
      <c r="A121" s="137"/>
      <c r="B121" s="136" t="s">
        <v>810</v>
      </c>
      <c r="C121" s="136" t="s">
        <v>811</v>
      </c>
      <c r="D121" s="137"/>
      <c r="E121" s="202"/>
      <c r="F121" s="84"/>
      <c r="G121" s="197">
        <v>0.9</v>
      </c>
      <c r="H121" s="353">
        <v>24</v>
      </c>
      <c r="I121" s="198">
        <v>1630</v>
      </c>
      <c r="J121" s="199">
        <v>3.5</v>
      </c>
      <c r="K121" s="475"/>
      <c r="L121" s="445"/>
      <c r="M121" s="524"/>
      <c r="N121" s="522"/>
      <c r="O121" s="522"/>
      <c r="P121" s="522"/>
      <c r="Q121" s="523"/>
      <c r="R121" s="522"/>
      <c r="T121" s="8">
        <f t="shared" si="1"/>
        <v>0.33130081300813008</v>
      </c>
    </row>
    <row r="122" spans="1:20" hidden="1" outlineLevel="1" x14ac:dyDescent="0.25">
      <c r="A122" s="137"/>
      <c r="B122" s="136" t="s">
        <v>812</v>
      </c>
      <c r="C122" s="136" t="s">
        <v>813</v>
      </c>
      <c r="D122" s="137"/>
      <c r="E122" s="137"/>
      <c r="F122" s="43"/>
      <c r="G122" s="197">
        <v>0.5</v>
      </c>
      <c r="H122" s="353">
        <v>13</v>
      </c>
      <c r="I122" s="198">
        <v>1520</v>
      </c>
      <c r="J122" s="199">
        <v>3.3</v>
      </c>
      <c r="K122" s="475"/>
      <c r="L122" s="445"/>
      <c r="M122" s="499"/>
      <c r="N122" s="116"/>
      <c r="O122" s="116"/>
      <c r="P122" s="116"/>
      <c r="Q122" s="418"/>
      <c r="R122" s="116"/>
      <c r="T122" s="8">
        <f t="shared" si="1"/>
        <v>0.30894308943089432</v>
      </c>
    </row>
    <row r="123" spans="1:20" hidden="1" outlineLevel="1" x14ac:dyDescent="0.25">
      <c r="A123" s="137"/>
      <c r="B123" s="136" t="s">
        <v>814</v>
      </c>
      <c r="C123" s="201" t="s">
        <v>815</v>
      </c>
      <c r="D123" s="137"/>
      <c r="E123" s="137"/>
      <c r="F123" s="205"/>
      <c r="G123" s="197">
        <v>0.1</v>
      </c>
      <c r="H123" s="353">
        <v>3</v>
      </c>
      <c r="I123" s="198">
        <v>440</v>
      </c>
      <c r="J123" s="199">
        <v>5.7</v>
      </c>
      <c r="K123" s="475"/>
      <c r="L123" s="445"/>
      <c r="M123" s="499"/>
      <c r="N123" s="116"/>
      <c r="O123" s="116"/>
      <c r="P123" s="116"/>
      <c r="Q123" s="418"/>
      <c r="R123" s="116"/>
      <c r="T123" s="8">
        <f t="shared" si="1"/>
        <v>8.943089430894309E-2</v>
      </c>
    </row>
    <row r="124" spans="1:20" hidden="1" outlineLevel="1" x14ac:dyDescent="0.25">
      <c r="A124" s="137"/>
      <c r="B124" s="136" t="s">
        <v>816</v>
      </c>
      <c r="C124" s="201" t="s">
        <v>817</v>
      </c>
      <c r="D124" s="137"/>
      <c r="E124" s="137"/>
      <c r="F124" s="205"/>
      <c r="G124" s="197">
        <v>1</v>
      </c>
      <c r="H124" s="353">
        <v>28</v>
      </c>
      <c r="I124" s="198">
        <v>2610</v>
      </c>
      <c r="J124" s="199">
        <v>2.2000000000000002</v>
      </c>
      <c r="K124" s="475"/>
      <c r="L124" s="445"/>
      <c r="M124" s="499"/>
      <c r="N124" s="116"/>
      <c r="O124" s="116"/>
      <c r="P124" s="116"/>
      <c r="Q124" s="418"/>
      <c r="R124" s="116"/>
      <c r="T124" s="8">
        <f t="shared" si="1"/>
        <v>0.53048780487804881</v>
      </c>
    </row>
    <row r="125" spans="1:20" hidden="1" outlineLevel="1" x14ac:dyDescent="0.25">
      <c r="A125" s="137"/>
      <c r="B125" s="136" t="s">
        <v>818</v>
      </c>
      <c r="C125" s="206" t="s">
        <v>819</v>
      </c>
      <c r="D125" s="137"/>
      <c r="E125" s="137"/>
      <c r="F125" s="205"/>
      <c r="G125" s="197">
        <v>0.3</v>
      </c>
      <c r="H125" s="353">
        <v>9</v>
      </c>
      <c r="I125" s="198">
        <v>1320</v>
      </c>
      <c r="J125" s="199">
        <v>4</v>
      </c>
      <c r="K125" s="475"/>
      <c r="L125" s="445"/>
      <c r="M125" s="499"/>
      <c r="N125" s="116"/>
      <c r="O125" s="116"/>
      <c r="P125" s="116"/>
      <c r="Q125" s="418"/>
      <c r="R125" s="116"/>
      <c r="T125" s="8">
        <f t="shared" si="1"/>
        <v>0.26829268292682928</v>
      </c>
    </row>
    <row r="126" spans="1:20" hidden="1" outlineLevel="1" x14ac:dyDescent="0.25">
      <c r="A126" s="137"/>
      <c r="B126" s="136" t="s">
        <v>820</v>
      </c>
      <c r="C126" s="136" t="s">
        <v>821</v>
      </c>
      <c r="D126" s="137"/>
      <c r="E126" s="205"/>
      <c r="F126" s="205"/>
      <c r="G126" s="197">
        <v>1.8</v>
      </c>
      <c r="H126" s="353">
        <v>50</v>
      </c>
      <c r="I126" s="198">
        <v>3090</v>
      </c>
      <c r="J126" s="199">
        <v>2.2000000000000002</v>
      </c>
      <c r="K126" s="475"/>
      <c r="L126" s="445"/>
      <c r="M126" s="499"/>
      <c r="N126" s="116"/>
      <c r="O126" s="116"/>
      <c r="P126" s="116"/>
      <c r="Q126" s="418"/>
      <c r="R126" s="116"/>
      <c r="T126" s="8">
        <f t="shared" si="1"/>
        <v>0.62804878048780488</v>
      </c>
    </row>
    <row r="127" spans="1:20" hidden="1" outlineLevel="1" collapsed="1" x14ac:dyDescent="0.25">
      <c r="A127" s="195"/>
      <c r="B127" s="196"/>
      <c r="C127" s="135"/>
      <c r="D127" s="135"/>
      <c r="E127" s="135"/>
      <c r="F127" s="84"/>
      <c r="G127" s="192"/>
      <c r="H127" s="352"/>
      <c r="I127" s="193"/>
      <c r="J127" s="207"/>
      <c r="K127" s="475"/>
      <c r="L127" s="445"/>
      <c r="M127" s="499"/>
      <c r="N127" s="116"/>
      <c r="O127" s="116"/>
      <c r="P127" s="116"/>
      <c r="Q127" s="418"/>
      <c r="R127" s="116"/>
      <c r="T127" s="8">
        <f t="shared" si="1"/>
        <v>0</v>
      </c>
    </row>
    <row r="128" spans="1:20" hidden="1" outlineLevel="1" x14ac:dyDescent="0.25">
      <c r="A128" s="195"/>
      <c r="B128" s="196"/>
      <c r="C128" s="118"/>
      <c r="D128" s="135"/>
      <c r="E128" s="135"/>
      <c r="F128" s="84"/>
      <c r="G128" s="192"/>
      <c r="H128" s="352"/>
      <c r="I128" s="193"/>
      <c r="J128" s="207"/>
      <c r="K128" s="475"/>
      <c r="L128" s="445"/>
      <c r="M128" s="512"/>
      <c r="N128" s="510"/>
      <c r="O128" s="510"/>
      <c r="P128" s="510"/>
      <c r="Q128" s="511"/>
      <c r="R128" s="510"/>
      <c r="T128" s="8">
        <f t="shared" si="1"/>
        <v>0</v>
      </c>
    </row>
    <row r="129" spans="1:20" x14ac:dyDescent="0.25">
      <c r="A129" s="184">
        <v>2</v>
      </c>
      <c r="B129" s="234" t="s">
        <v>553</v>
      </c>
      <c r="C129" s="186"/>
      <c r="D129" s="186"/>
      <c r="E129" s="186"/>
      <c r="F129" s="235"/>
      <c r="G129" s="236">
        <v>11.4</v>
      </c>
      <c r="H129" s="357">
        <v>309</v>
      </c>
      <c r="I129" s="237">
        <v>3010</v>
      </c>
      <c r="J129" s="326">
        <v>2.2999999999999998</v>
      </c>
      <c r="K129" s="467">
        <v>2</v>
      </c>
      <c r="L129" s="447" t="str">
        <f>B129</f>
        <v>Alcoholic drink, tobacco and narcotics</v>
      </c>
      <c r="M129" s="500">
        <f>SUM(M131:M151)</f>
        <v>6.468</v>
      </c>
      <c r="N129" s="391">
        <f>G129</f>
        <v>11.4</v>
      </c>
      <c r="O129" s="392">
        <f>(M129/N129)</f>
        <v>0.56736842105263152</v>
      </c>
      <c r="P129" s="416">
        <v>0.4</v>
      </c>
      <c r="Q129" s="417" t="s">
        <v>822</v>
      </c>
      <c r="R129" s="116" t="s">
        <v>823</v>
      </c>
      <c r="T129" s="8">
        <f t="shared" si="1"/>
        <v>0.61178861788617889</v>
      </c>
    </row>
    <row r="130" spans="1:20" hidden="1" outlineLevel="1" x14ac:dyDescent="0.25">
      <c r="A130" s="195"/>
      <c r="B130" s="190"/>
      <c r="C130" s="118"/>
      <c r="D130" s="135"/>
      <c r="E130" s="135"/>
      <c r="F130" s="84"/>
      <c r="G130" s="197"/>
      <c r="H130" s="353"/>
      <c r="I130" s="198"/>
      <c r="J130" s="199"/>
      <c r="K130" s="466"/>
      <c r="L130" s="440"/>
      <c r="M130" s="525"/>
      <c r="N130" s="519"/>
      <c r="O130" s="519"/>
      <c r="P130" s="519"/>
      <c r="Q130" s="526"/>
      <c r="R130" s="519"/>
      <c r="T130" s="8">
        <f t="shared" si="1"/>
        <v>0</v>
      </c>
    </row>
    <row r="131" spans="1:20" outlineLevel="1" x14ac:dyDescent="0.25">
      <c r="A131" s="195">
        <v>2.1</v>
      </c>
      <c r="B131" s="196" t="s">
        <v>824</v>
      </c>
      <c r="C131" s="118"/>
      <c r="D131" s="135"/>
      <c r="E131" s="135"/>
      <c r="F131" s="43"/>
      <c r="G131" s="192">
        <v>7.8</v>
      </c>
      <c r="H131" s="352">
        <v>211</v>
      </c>
      <c r="I131" s="193">
        <v>2660</v>
      </c>
      <c r="J131" s="199">
        <v>2.4</v>
      </c>
      <c r="K131" s="466"/>
      <c r="L131" s="441" t="str">
        <f>B131</f>
        <v>Alcoholic drinks</v>
      </c>
      <c r="M131" s="499">
        <f>G131*46%</f>
        <v>3.5880000000000001</v>
      </c>
      <c r="N131" s="116"/>
      <c r="O131" s="116"/>
      <c r="P131" s="116"/>
      <c r="Q131" s="417"/>
      <c r="R131" s="116" t="s">
        <v>825</v>
      </c>
      <c r="T131" s="8">
        <f t="shared" si="1"/>
        <v>0.54065040650406504</v>
      </c>
    </row>
    <row r="132" spans="1:20" hidden="1" outlineLevel="1" x14ac:dyDescent="0.25">
      <c r="A132" s="137"/>
      <c r="B132" s="136" t="s">
        <v>826</v>
      </c>
      <c r="C132" s="136" t="s">
        <v>827</v>
      </c>
      <c r="D132" s="204"/>
      <c r="E132" s="137"/>
      <c r="F132" s="205"/>
      <c r="G132" s="197">
        <v>1.7</v>
      </c>
      <c r="H132" s="353">
        <v>47</v>
      </c>
      <c r="I132" s="198">
        <v>760</v>
      </c>
      <c r="J132" s="199">
        <v>4.7</v>
      </c>
      <c r="K132" s="466"/>
      <c r="L132" s="440"/>
      <c r="M132" s="524"/>
      <c r="N132" s="522"/>
      <c r="O132" s="522"/>
      <c r="P132" s="522"/>
      <c r="Q132" s="527"/>
      <c r="R132" s="522"/>
      <c r="T132" s="8">
        <f t="shared" si="1"/>
        <v>0.15447154471544716</v>
      </c>
    </row>
    <row r="133" spans="1:20" hidden="1" outlineLevel="1" x14ac:dyDescent="0.25">
      <c r="A133" s="137"/>
      <c r="B133" s="136"/>
      <c r="C133" s="136"/>
      <c r="D133" s="204"/>
      <c r="E133" s="137"/>
      <c r="F133" s="205"/>
      <c r="G133" s="197"/>
      <c r="H133" s="353"/>
      <c r="I133" s="198"/>
      <c r="J133" s="199"/>
      <c r="K133" s="466"/>
      <c r="L133" s="440"/>
      <c r="M133" s="499"/>
      <c r="N133" s="116"/>
      <c r="O133" s="116"/>
      <c r="P133" s="116"/>
      <c r="Q133" s="417"/>
      <c r="R133" s="116"/>
      <c r="T133" s="8">
        <f t="shared" si="1"/>
        <v>0</v>
      </c>
    </row>
    <row r="134" spans="1:20" hidden="1" outlineLevel="1" x14ac:dyDescent="0.25">
      <c r="A134" s="137"/>
      <c r="B134" s="136" t="s">
        <v>828</v>
      </c>
      <c r="C134" s="136" t="s">
        <v>829</v>
      </c>
      <c r="D134" s="204"/>
      <c r="E134" s="137"/>
      <c r="F134" s="205"/>
      <c r="G134" s="197">
        <v>4</v>
      </c>
      <c r="H134" s="353">
        <v>108</v>
      </c>
      <c r="I134" s="198">
        <v>1800</v>
      </c>
      <c r="J134" s="199">
        <v>3.4</v>
      </c>
      <c r="K134" s="466"/>
      <c r="L134" s="440"/>
      <c r="M134" s="499"/>
      <c r="N134" s="116"/>
      <c r="O134" s="116"/>
      <c r="P134" s="116"/>
      <c r="Q134" s="417"/>
      <c r="R134" s="116"/>
      <c r="T134" s="8">
        <f t="shared" si="1"/>
        <v>0.36585365853658536</v>
      </c>
    </row>
    <row r="135" spans="1:20" hidden="1" outlineLevel="1" x14ac:dyDescent="0.25">
      <c r="A135" s="137"/>
      <c r="B135" s="200"/>
      <c r="C135" s="201" t="s">
        <v>830</v>
      </c>
      <c r="D135" s="137" t="s">
        <v>831</v>
      </c>
      <c r="E135" s="137"/>
      <c r="F135" s="205"/>
      <c r="G135" s="192">
        <v>3.3</v>
      </c>
      <c r="H135" s="352">
        <v>91</v>
      </c>
      <c r="I135" s="193">
        <v>1630</v>
      </c>
      <c r="J135" s="199">
        <v>3.7</v>
      </c>
      <c r="K135" s="466"/>
      <c r="L135" s="440"/>
      <c r="M135" s="499"/>
      <c r="N135" s="116"/>
      <c r="O135" s="116"/>
      <c r="P135" s="116"/>
      <c r="Q135" s="417"/>
      <c r="R135" s="116"/>
      <c r="T135" s="8">
        <f t="shared" si="1"/>
        <v>0.33130081300813008</v>
      </c>
    </row>
    <row r="136" spans="1:20" hidden="1" outlineLevel="1" x14ac:dyDescent="0.25">
      <c r="A136" s="137"/>
      <c r="B136" s="200"/>
      <c r="C136" s="201" t="s">
        <v>832</v>
      </c>
      <c r="D136" s="137" t="s">
        <v>833</v>
      </c>
      <c r="E136" s="137"/>
      <c r="F136" s="205"/>
      <c r="G136" s="197">
        <v>0.2</v>
      </c>
      <c r="H136" s="353">
        <v>4</v>
      </c>
      <c r="I136" s="198">
        <v>140</v>
      </c>
      <c r="J136" s="199">
        <v>12.6</v>
      </c>
      <c r="K136" s="466"/>
      <c r="L136" s="440"/>
      <c r="M136" s="499"/>
      <c r="N136" s="116"/>
      <c r="O136" s="116"/>
      <c r="P136" s="116"/>
      <c r="Q136" s="417"/>
      <c r="R136" s="116"/>
      <c r="T136" s="8">
        <f t="shared" si="1"/>
        <v>2.8455284552845527E-2</v>
      </c>
    </row>
    <row r="137" spans="1:20" hidden="1" outlineLevel="1" x14ac:dyDescent="0.25">
      <c r="A137" s="137"/>
      <c r="B137" s="136"/>
      <c r="C137" s="136" t="s">
        <v>834</v>
      </c>
      <c r="D137" s="204" t="s">
        <v>835</v>
      </c>
      <c r="E137" s="137"/>
      <c r="F137" s="205"/>
      <c r="G137" s="197">
        <v>0.5</v>
      </c>
      <c r="H137" s="353">
        <v>13</v>
      </c>
      <c r="I137" s="198">
        <v>340</v>
      </c>
      <c r="J137" s="199">
        <v>7.7</v>
      </c>
      <c r="K137" s="466"/>
      <c r="L137" s="440"/>
      <c r="M137" s="499"/>
      <c r="N137" s="116"/>
      <c r="O137" s="116"/>
      <c r="P137" s="116"/>
      <c r="Q137" s="417"/>
      <c r="R137" s="116"/>
      <c r="T137" s="8">
        <f t="shared" si="1"/>
        <v>6.910569105691057E-2</v>
      </c>
    </row>
    <row r="138" spans="1:20" hidden="1" outlineLevel="1" x14ac:dyDescent="0.25">
      <c r="A138" s="137"/>
      <c r="B138" s="136"/>
      <c r="C138" s="136"/>
      <c r="D138" s="204"/>
      <c r="E138" s="137"/>
      <c r="F138" s="205"/>
      <c r="G138" s="197"/>
      <c r="H138" s="353"/>
      <c r="I138" s="198"/>
      <c r="J138" s="199"/>
      <c r="K138" s="466"/>
      <c r="L138" s="440"/>
      <c r="M138" s="499"/>
      <c r="N138" s="116"/>
      <c r="O138" s="116"/>
      <c r="P138" s="116"/>
      <c r="Q138" s="417"/>
      <c r="R138" s="116"/>
      <c r="T138" s="8">
        <f t="shared" si="1"/>
        <v>0</v>
      </c>
    </row>
    <row r="139" spans="1:20" hidden="1" outlineLevel="1" x14ac:dyDescent="0.25">
      <c r="A139" s="137"/>
      <c r="B139" s="136" t="s">
        <v>836</v>
      </c>
      <c r="C139" s="136" t="s">
        <v>837</v>
      </c>
      <c r="D139" s="204"/>
      <c r="E139" s="137"/>
      <c r="F139" s="205"/>
      <c r="G139" s="197">
        <v>2</v>
      </c>
      <c r="H139" s="353">
        <v>55</v>
      </c>
      <c r="I139" s="198">
        <v>1480</v>
      </c>
      <c r="J139" s="199">
        <v>3.5</v>
      </c>
      <c r="K139" s="466"/>
      <c r="L139" s="440"/>
      <c r="M139" s="499"/>
      <c r="N139" s="116"/>
      <c r="O139" s="116"/>
      <c r="P139" s="116"/>
      <c r="Q139" s="417"/>
      <c r="R139" s="116"/>
      <c r="T139" s="8">
        <f t="shared" si="1"/>
        <v>0.30081300813008133</v>
      </c>
    </row>
    <row r="140" spans="1:20" hidden="1" outlineLevel="1" x14ac:dyDescent="0.25">
      <c r="A140" s="137"/>
      <c r="B140" s="136"/>
      <c r="C140" s="136" t="s">
        <v>838</v>
      </c>
      <c r="D140" s="204" t="s">
        <v>839</v>
      </c>
      <c r="E140" s="137"/>
      <c r="F140" s="205"/>
      <c r="G140" s="197">
        <v>1.7</v>
      </c>
      <c r="H140" s="353">
        <v>45</v>
      </c>
      <c r="I140" s="198">
        <v>1220</v>
      </c>
      <c r="J140" s="199">
        <v>3.9</v>
      </c>
      <c r="K140" s="466"/>
      <c r="L140" s="440"/>
      <c r="M140" s="499"/>
      <c r="N140" s="116"/>
      <c r="O140" s="116"/>
      <c r="P140" s="116"/>
      <c r="Q140" s="417"/>
      <c r="R140" s="116"/>
      <c r="T140" s="8">
        <f t="shared" si="1"/>
        <v>0.24796747967479674</v>
      </c>
    </row>
    <row r="141" spans="1:20" hidden="1" outlineLevel="1" x14ac:dyDescent="0.25">
      <c r="A141" s="137"/>
      <c r="B141" s="200"/>
      <c r="C141" s="201" t="s">
        <v>840</v>
      </c>
      <c r="D141" s="137" t="s">
        <v>841</v>
      </c>
      <c r="E141" s="137"/>
      <c r="F141" s="205"/>
      <c r="G141" s="192">
        <v>0.4</v>
      </c>
      <c r="H141" s="352">
        <v>10</v>
      </c>
      <c r="I141" s="193">
        <v>470</v>
      </c>
      <c r="J141" s="199">
        <v>7</v>
      </c>
      <c r="K141" s="466"/>
      <c r="L141" s="440"/>
      <c r="M141" s="499"/>
      <c r="N141" s="116"/>
      <c r="O141" s="116"/>
      <c r="P141" s="116"/>
      <c r="Q141" s="417"/>
      <c r="R141" s="116"/>
      <c r="T141" s="8">
        <f t="shared" si="1"/>
        <v>9.5528455284552852E-2</v>
      </c>
    </row>
    <row r="142" spans="1:20" hidden="1" outlineLevel="1" x14ac:dyDescent="0.25">
      <c r="A142" s="200"/>
      <c r="B142" s="201"/>
      <c r="C142" s="137"/>
      <c r="D142" s="137"/>
      <c r="E142" s="137"/>
      <c r="F142" s="205"/>
      <c r="G142" s="192"/>
      <c r="H142" s="352"/>
      <c r="I142" s="193"/>
      <c r="J142" s="207"/>
      <c r="K142" s="466"/>
      <c r="L142" s="440"/>
      <c r="M142" s="499"/>
      <c r="N142" s="116"/>
      <c r="O142" s="116"/>
      <c r="P142" s="116"/>
      <c r="Q142" s="417"/>
      <c r="R142" s="116"/>
      <c r="T142" s="8">
        <f t="shared" si="1"/>
        <v>0</v>
      </c>
    </row>
    <row r="143" spans="1:20" hidden="1" outlineLevel="1" x14ac:dyDescent="0.25">
      <c r="A143" s="137"/>
      <c r="B143" s="136" t="s">
        <v>842</v>
      </c>
      <c r="C143" s="201" t="s">
        <v>843</v>
      </c>
      <c r="D143" s="137"/>
      <c r="E143" s="137"/>
      <c r="F143" s="205"/>
      <c r="G143" s="197">
        <v>0</v>
      </c>
      <c r="H143" s="353">
        <v>1</v>
      </c>
      <c r="I143" s="198">
        <v>80</v>
      </c>
      <c r="J143" s="199">
        <v>17.899999999999999</v>
      </c>
      <c r="K143" s="466"/>
      <c r="L143" s="440"/>
      <c r="M143" s="499"/>
      <c r="N143" s="116"/>
      <c r="O143" s="116"/>
      <c r="P143" s="116"/>
      <c r="Q143" s="417"/>
      <c r="R143" s="116"/>
      <c r="T143" s="8">
        <f t="shared" si="1"/>
        <v>1.6260162601626018E-2</v>
      </c>
    </row>
    <row r="144" spans="1:20" hidden="1" outlineLevel="1" x14ac:dyDescent="0.25">
      <c r="A144" s="136"/>
      <c r="B144" s="200"/>
      <c r="C144" s="204"/>
      <c r="D144" s="137"/>
      <c r="E144" s="137"/>
      <c r="F144" s="205"/>
      <c r="G144" s="197"/>
      <c r="H144" s="353"/>
      <c r="I144" s="198"/>
      <c r="J144" s="199"/>
      <c r="K144" s="466"/>
      <c r="L144" s="440"/>
      <c r="M144" s="512"/>
      <c r="N144" s="510"/>
      <c r="O144" s="510"/>
      <c r="P144" s="510"/>
      <c r="Q144" s="513"/>
      <c r="R144" s="510"/>
      <c r="T144" s="8">
        <f t="shared" si="1"/>
        <v>0</v>
      </c>
    </row>
    <row r="145" spans="1:20" outlineLevel="1" x14ac:dyDescent="0.25">
      <c r="A145" s="155">
        <v>2.2000000000000002</v>
      </c>
      <c r="B145" s="155" t="s">
        <v>844</v>
      </c>
      <c r="C145" s="238"/>
      <c r="D145" s="135"/>
      <c r="E145" s="135"/>
      <c r="F145" s="43"/>
      <c r="G145" s="117">
        <v>3.6</v>
      </c>
      <c r="H145" s="353">
        <v>98</v>
      </c>
      <c r="I145" s="198">
        <v>790</v>
      </c>
      <c r="J145" s="199">
        <v>5.0999999999999996</v>
      </c>
      <c r="K145" s="466"/>
      <c r="L145" s="446" t="str">
        <f>B145</f>
        <v>Tobacco and narcotics1</v>
      </c>
      <c r="M145" s="499">
        <f>G145*80%</f>
        <v>2.8800000000000003</v>
      </c>
      <c r="N145" s="116"/>
      <c r="O145" s="116"/>
      <c r="P145" s="116"/>
      <c r="Q145" s="417"/>
      <c r="R145" s="116" t="s">
        <v>845</v>
      </c>
      <c r="T145" s="8">
        <f t="shared" si="1"/>
        <v>0.16056910569105692</v>
      </c>
    </row>
    <row r="146" spans="1:20" hidden="1" outlineLevel="1" x14ac:dyDescent="0.25">
      <c r="A146" s="137"/>
      <c r="B146" s="136" t="s">
        <v>846</v>
      </c>
      <c r="C146" s="201" t="s">
        <v>847</v>
      </c>
      <c r="D146" s="137"/>
      <c r="E146" s="137"/>
      <c r="F146" s="205"/>
      <c r="G146" s="192">
        <v>2.8</v>
      </c>
      <c r="H146" s="352">
        <v>77</v>
      </c>
      <c r="I146" s="193">
        <v>640</v>
      </c>
      <c r="J146" s="199">
        <v>5.9</v>
      </c>
      <c r="K146" s="466"/>
      <c r="L146" s="440"/>
      <c r="M146" s="524"/>
      <c r="N146" s="522"/>
      <c r="O146" s="522"/>
      <c r="P146" s="522"/>
      <c r="Q146" s="527"/>
      <c r="R146" s="522"/>
      <c r="T146" s="8">
        <f t="shared" ref="T146:T209" si="2">I146/$I$11</f>
        <v>0.13008130081300814</v>
      </c>
    </row>
    <row r="147" spans="1:20" hidden="1" outlineLevel="1" x14ac:dyDescent="0.25">
      <c r="A147" s="137"/>
      <c r="B147" s="136"/>
      <c r="C147" s="201"/>
      <c r="D147" s="137"/>
      <c r="E147" s="137"/>
      <c r="F147" s="205"/>
      <c r="G147" s="192"/>
      <c r="H147" s="352"/>
      <c r="I147" s="193"/>
      <c r="J147" s="207"/>
      <c r="K147" s="466"/>
      <c r="L147" s="440"/>
      <c r="M147" s="499"/>
      <c r="N147" s="116"/>
      <c r="O147" s="116"/>
      <c r="P147" s="116"/>
      <c r="Q147" s="417"/>
      <c r="R147" s="116"/>
      <c r="T147" s="8">
        <f t="shared" si="2"/>
        <v>0</v>
      </c>
    </row>
    <row r="148" spans="1:20" hidden="1" outlineLevel="1" x14ac:dyDescent="0.25">
      <c r="A148" s="137"/>
      <c r="B148" s="136" t="s">
        <v>848</v>
      </c>
      <c r="C148" s="201" t="s">
        <v>849</v>
      </c>
      <c r="D148" s="137"/>
      <c r="E148" s="137"/>
      <c r="F148" s="205"/>
      <c r="G148" s="197">
        <v>0.8</v>
      </c>
      <c r="H148" s="353">
        <v>21</v>
      </c>
      <c r="I148" s="198">
        <v>310</v>
      </c>
      <c r="J148" s="199">
        <v>8.1999999999999993</v>
      </c>
      <c r="K148" s="466"/>
      <c r="L148" s="440"/>
      <c r="M148" s="499"/>
      <c r="N148" s="116"/>
      <c r="O148" s="116"/>
      <c r="P148" s="116"/>
      <c r="Q148" s="417"/>
      <c r="R148" s="116"/>
      <c r="T148" s="8">
        <f t="shared" si="2"/>
        <v>6.3008130081300809E-2</v>
      </c>
    </row>
    <row r="149" spans="1:20" hidden="1" outlineLevel="1" x14ac:dyDescent="0.25">
      <c r="A149" s="137"/>
      <c r="B149" s="200"/>
      <c r="C149" s="136" t="s">
        <v>850</v>
      </c>
      <c r="D149" s="137" t="s">
        <v>851</v>
      </c>
      <c r="E149" s="137"/>
      <c r="F149" s="205"/>
      <c r="G149" s="332">
        <v>0</v>
      </c>
      <c r="H149" s="374">
        <v>1</v>
      </c>
      <c r="I149" s="198">
        <v>10</v>
      </c>
      <c r="J149" s="199">
        <v>36.1</v>
      </c>
      <c r="K149" s="466"/>
      <c r="L149" s="440"/>
      <c r="M149" s="499"/>
      <c r="N149" s="116"/>
      <c r="O149" s="116"/>
      <c r="P149" s="116"/>
      <c r="Q149" s="417"/>
      <c r="R149" s="116"/>
      <c r="T149" s="8">
        <f t="shared" si="2"/>
        <v>2.0325203252032522E-3</v>
      </c>
    </row>
    <row r="150" spans="1:20" hidden="1" outlineLevel="1" x14ac:dyDescent="0.25">
      <c r="A150" s="137"/>
      <c r="B150" s="200"/>
      <c r="C150" s="201" t="s">
        <v>852</v>
      </c>
      <c r="D150" s="137" t="s">
        <v>853</v>
      </c>
      <c r="E150" s="137"/>
      <c r="F150" s="205"/>
      <c r="G150" s="197">
        <v>0.7</v>
      </c>
      <c r="H150" s="353">
        <v>20</v>
      </c>
      <c r="I150" s="198">
        <v>300</v>
      </c>
      <c r="J150" s="199">
        <v>8.1</v>
      </c>
      <c r="K150" s="466"/>
      <c r="L150" s="440"/>
      <c r="M150" s="499"/>
      <c r="N150" s="116"/>
      <c r="O150" s="116"/>
      <c r="P150" s="116"/>
      <c r="Q150" s="417"/>
      <c r="R150" s="116"/>
      <c r="T150" s="8">
        <f t="shared" si="2"/>
        <v>6.097560975609756E-2</v>
      </c>
    </row>
    <row r="151" spans="1:20" hidden="1" outlineLevel="1" x14ac:dyDescent="0.25">
      <c r="A151" s="137"/>
      <c r="B151" s="200"/>
      <c r="C151" s="201" t="s">
        <v>854</v>
      </c>
      <c r="D151" s="137" t="s">
        <v>855</v>
      </c>
      <c r="E151" s="137"/>
      <c r="F151" s="205"/>
      <c r="G151" s="332" t="s">
        <v>645</v>
      </c>
      <c r="H151" s="332" t="s">
        <v>645</v>
      </c>
      <c r="I151" s="332" t="s">
        <v>645</v>
      </c>
      <c r="J151" s="332" t="s">
        <v>645</v>
      </c>
      <c r="K151" s="466"/>
      <c r="L151" s="440"/>
      <c r="M151" s="499"/>
      <c r="N151" s="116"/>
      <c r="O151" s="116"/>
      <c r="P151" s="116"/>
      <c r="Q151" s="417"/>
      <c r="R151" s="116"/>
      <c r="T151" s="8" t="e">
        <f t="shared" si="2"/>
        <v>#VALUE!</v>
      </c>
    </row>
    <row r="152" spans="1:20" hidden="1" outlineLevel="1" x14ac:dyDescent="0.25">
      <c r="A152" s="195"/>
      <c r="B152" s="196"/>
      <c r="C152" s="135"/>
      <c r="D152" s="135"/>
      <c r="E152" s="135"/>
      <c r="F152" s="84"/>
      <c r="G152" s="197"/>
      <c r="H152" s="353"/>
      <c r="I152" s="198"/>
      <c r="J152" s="199"/>
      <c r="K152" s="466"/>
      <c r="L152" s="440"/>
      <c r="M152" s="499"/>
      <c r="N152" s="116"/>
      <c r="O152" s="116"/>
      <c r="P152" s="116"/>
      <c r="Q152" s="417"/>
      <c r="R152" s="116"/>
      <c r="T152" s="8">
        <f t="shared" si="2"/>
        <v>0</v>
      </c>
    </row>
    <row r="153" spans="1:20" hidden="1" outlineLevel="1" x14ac:dyDescent="0.25">
      <c r="A153" s="195"/>
      <c r="B153" s="196"/>
      <c r="C153" s="135"/>
      <c r="D153" s="135"/>
      <c r="E153" s="135"/>
      <c r="F153" s="84"/>
      <c r="G153" s="197"/>
      <c r="H153" s="353"/>
      <c r="I153" s="198"/>
      <c r="J153" s="199"/>
      <c r="K153" s="466"/>
      <c r="L153" s="440"/>
      <c r="M153" s="512"/>
      <c r="N153" s="510"/>
      <c r="O153" s="510"/>
      <c r="P153" s="510"/>
      <c r="Q153" s="513"/>
      <c r="R153" s="510"/>
      <c r="T153" s="8">
        <f t="shared" si="2"/>
        <v>0</v>
      </c>
    </row>
    <row r="154" spans="1:20" x14ac:dyDescent="0.25">
      <c r="A154" s="240" t="s">
        <v>624</v>
      </c>
      <c r="B154" s="241" t="s">
        <v>554</v>
      </c>
      <c r="C154" s="242"/>
      <c r="D154" s="230"/>
      <c r="E154" s="230"/>
      <c r="F154" s="242"/>
      <c r="G154" s="188">
        <v>23.5</v>
      </c>
      <c r="H154" s="351">
        <v>638</v>
      </c>
      <c r="I154" s="189">
        <v>3220</v>
      </c>
      <c r="J154" s="326">
        <v>2.8</v>
      </c>
      <c r="K154" s="466">
        <v>3</v>
      </c>
      <c r="L154" s="439" t="str">
        <f>B154</f>
        <v>Clothing and footwear</v>
      </c>
      <c r="M154" s="500">
        <f>SUM(M156:M206)</f>
        <v>11.75</v>
      </c>
      <c r="N154" s="391">
        <f>G154</f>
        <v>23.5</v>
      </c>
      <c r="O154" s="392">
        <f>(M154/N154)</f>
        <v>0.5</v>
      </c>
      <c r="P154" s="392">
        <v>0.5</v>
      </c>
      <c r="Q154" s="417" t="s">
        <v>822</v>
      </c>
      <c r="R154" s="116" t="s">
        <v>856</v>
      </c>
      <c r="T154" s="8">
        <f t="shared" si="2"/>
        <v>0.65447154471544711</v>
      </c>
    </row>
    <row r="155" spans="1:20" hidden="1" outlineLevel="1" x14ac:dyDescent="0.25">
      <c r="A155" s="232"/>
      <c r="B155" s="243"/>
      <c r="C155" s="84"/>
      <c r="D155" s="191"/>
      <c r="E155" s="191"/>
      <c r="F155" s="84"/>
      <c r="G155" s="192"/>
      <c r="H155" s="352"/>
      <c r="I155" s="193"/>
      <c r="J155" s="207"/>
      <c r="K155" s="466"/>
      <c r="L155" s="440"/>
      <c r="Q155" s="419"/>
      <c r="T155" s="8">
        <f t="shared" si="2"/>
        <v>0</v>
      </c>
    </row>
    <row r="156" spans="1:20" outlineLevel="1" x14ac:dyDescent="0.25">
      <c r="A156" s="195">
        <v>3.1</v>
      </c>
      <c r="B156" s="196" t="s">
        <v>857</v>
      </c>
      <c r="C156" s="43"/>
      <c r="D156" s="135"/>
      <c r="E156" s="135"/>
      <c r="F156" s="43"/>
      <c r="G156" s="197">
        <v>18.899999999999999</v>
      </c>
      <c r="H156" s="353">
        <v>513</v>
      </c>
      <c r="I156" s="198">
        <v>3040</v>
      </c>
      <c r="J156" s="199">
        <v>3.1</v>
      </c>
      <c r="K156" s="466"/>
      <c r="L156" s="441" t="str">
        <f>B156</f>
        <v>Clothing</v>
      </c>
      <c r="M156" s="504">
        <f>G156*50%</f>
        <v>9.4499999999999993</v>
      </c>
      <c r="N156" s="116"/>
      <c r="O156" s="116"/>
      <c r="P156" s="116"/>
      <c r="Q156" s="418"/>
      <c r="R156" s="116"/>
      <c r="T156" s="8">
        <f t="shared" si="2"/>
        <v>0.61788617886178865</v>
      </c>
    </row>
    <row r="157" spans="1:20" hidden="1" outlineLevel="1" x14ac:dyDescent="0.25">
      <c r="A157" s="195"/>
      <c r="B157" s="136" t="s">
        <v>858</v>
      </c>
      <c r="C157" s="201" t="s">
        <v>859</v>
      </c>
      <c r="D157" s="137"/>
      <c r="E157" s="137"/>
      <c r="F157" s="205"/>
      <c r="G157" s="197">
        <v>4.8</v>
      </c>
      <c r="H157" s="353">
        <v>131</v>
      </c>
      <c r="I157" s="198">
        <v>960</v>
      </c>
      <c r="J157" s="199">
        <v>5.2</v>
      </c>
      <c r="K157" s="466"/>
      <c r="L157" s="440"/>
      <c r="M157" s="524"/>
      <c r="N157" s="522"/>
      <c r="O157" s="522"/>
      <c r="P157" s="522"/>
      <c r="Q157" s="523"/>
      <c r="R157" s="522"/>
      <c r="T157" s="8">
        <f t="shared" si="2"/>
        <v>0.1951219512195122</v>
      </c>
    </row>
    <row r="158" spans="1:20" hidden="1" outlineLevel="1" x14ac:dyDescent="0.25">
      <c r="A158" s="155"/>
      <c r="B158" s="136" t="s">
        <v>860</v>
      </c>
      <c r="C158" s="201" t="s">
        <v>861</v>
      </c>
      <c r="D158" s="137"/>
      <c r="E158" s="137"/>
      <c r="F158" s="205"/>
      <c r="G158" s="197">
        <v>0.6</v>
      </c>
      <c r="H158" s="353">
        <v>16</v>
      </c>
      <c r="I158" s="198">
        <v>420</v>
      </c>
      <c r="J158" s="199">
        <v>7.4</v>
      </c>
      <c r="K158" s="466"/>
      <c r="L158" s="440"/>
      <c r="M158" s="499"/>
      <c r="N158" s="116"/>
      <c r="O158" s="116"/>
      <c r="P158" s="116"/>
      <c r="Q158" s="418"/>
      <c r="R158" s="116"/>
      <c r="T158" s="8">
        <f t="shared" si="2"/>
        <v>8.5365853658536592E-2</v>
      </c>
    </row>
    <row r="159" spans="1:20" hidden="1" outlineLevel="1" x14ac:dyDescent="0.25">
      <c r="A159" s="155"/>
      <c r="B159" s="136" t="s">
        <v>862</v>
      </c>
      <c r="C159" s="201" t="s">
        <v>863</v>
      </c>
      <c r="D159" s="137"/>
      <c r="E159" s="137"/>
      <c r="F159" s="205"/>
      <c r="G159" s="197">
        <v>8.3000000000000007</v>
      </c>
      <c r="H159" s="353">
        <v>226</v>
      </c>
      <c r="I159" s="198">
        <v>1770</v>
      </c>
      <c r="J159" s="199">
        <v>4.5999999999999996</v>
      </c>
      <c r="K159" s="466"/>
      <c r="L159" s="440"/>
      <c r="M159" s="499"/>
      <c r="N159" s="116"/>
      <c r="O159" s="116"/>
      <c r="P159" s="116"/>
      <c r="Q159" s="418"/>
      <c r="R159" s="116"/>
      <c r="T159" s="8">
        <f t="shared" si="2"/>
        <v>0.3597560975609756</v>
      </c>
    </row>
    <row r="160" spans="1:20" hidden="1" outlineLevel="1" x14ac:dyDescent="0.25">
      <c r="A160" s="155"/>
      <c r="B160" s="136" t="s">
        <v>864</v>
      </c>
      <c r="C160" s="201" t="s">
        <v>865</v>
      </c>
      <c r="D160" s="137"/>
      <c r="E160" s="137"/>
      <c r="F160" s="205"/>
      <c r="G160" s="197">
        <v>1.1000000000000001</v>
      </c>
      <c r="H160" s="353">
        <v>30</v>
      </c>
      <c r="I160" s="198">
        <v>820</v>
      </c>
      <c r="J160" s="199">
        <v>4.8</v>
      </c>
      <c r="K160" s="466"/>
      <c r="L160" s="440"/>
      <c r="M160" s="499"/>
      <c r="N160" s="116"/>
      <c r="O160" s="116"/>
      <c r="P160" s="116"/>
      <c r="Q160" s="418"/>
      <c r="R160" s="116"/>
      <c r="T160" s="8">
        <f t="shared" si="2"/>
        <v>0.16666666666666666</v>
      </c>
    </row>
    <row r="161" spans="1:20" hidden="1" outlineLevel="1" x14ac:dyDescent="0.25">
      <c r="A161" s="203"/>
      <c r="B161" s="136" t="s">
        <v>866</v>
      </c>
      <c r="C161" s="136" t="s">
        <v>867</v>
      </c>
      <c r="D161" s="137"/>
      <c r="E161" s="137"/>
      <c r="F161" s="205"/>
      <c r="G161" s="197">
        <v>0.9</v>
      </c>
      <c r="H161" s="353">
        <v>25</v>
      </c>
      <c r="I161" s="198">
        <v>370</v>
      </c>
      <c r="J161" s="199">
        <v>8.3000000000000007</v>
      </c>
      <c r="K161" s="466"/>
      <c r="L161" s="440"/>
      <c r="M161" s="499"/>
      <c r="N161" s="116"/>
      <c r="O161" s="116"/>
      <c r="P161" s="116"/>
      <c r="Q161" s="418"/>
      <c r="R161" s="116"/>
      <c r="T161" s="8">
        <f t="shared" si="2"/>
        <v>7.5203252032520332E-2</v>
      </c>
    </row>
    <row r="162" spans="1:20" hidden="1" outlineLevel="1" x14ac:dyDescent="0.25">
      <c r="A162" s="244"/>
      <c r="B162" s="136" t="s">
        <v>868</v>
      </c>
      <c r="C162" s="136" t="s">
        <v>869</v>
      </c>
      <c r="D162" s="137"/>
      <c r="E162" s="137"/>
      <c r="F162" s="205"/>
      <c r="G162" s="197">
        <v>1</v>
      </c>
      <c r="H162" s="353">
        <v>26</v>
      </c>
      <c r="I162" s="198">
        <v>440</v>
      </c>
      <c r="J162" s="199">
        <v>7</v>
      </c>
      <c r="K162" s="466"/>
      <c r="L162" s="440"/>
      <c r="M162" s="499"/>
      <c r="N162" s="116"/>
      <c r="O162" s="116"/>
      <c r="P162" s="116"/>
      <c r="Q162" s="418"/>
      <c r="R162" s="116"/>
      <c r="T162" s="8">
        <f t="shared" si="2"/>
        <v>8.943089430894309E-2</v>
      </c>
    </row>
    <row r="163" spans="1:20" hidden="1" outlineLevel="1" x14ac:dyDescent="0.25">
      <c r="A163" s="182"/>
      <c r="B163" s="136" t="s">
        <v>870</v>
      </c>
      <c r="C163" s="136" t="s">
        <v>871</v>
      </c>
      <c r="D163" s="211"/>
      <c r="E163" s="211"/>
      <c r="F163" s="205"/>
      <c r="G163" s="394">
        <v>0.6</v>
      </c>
      <c r="H163" s="353">
        <v>17</v>
      </c>
      <c r="I163" s="198">
        <v>340</v>
      </c>
      <c r="J163" s="199">
        <v>7.8</v>
      </c>
      <c r="K163" s="466"/>
      <c r="L163" s="440"/>
      <c r="M163" s="499"/>
      <c r="N163" s="116"/>
      <c r="O163" s="116"/>
      <c r="P163" s="116"/>
      <c r="Q163" s="418"/>
      <c r="R163" s="116"/>
      <c r="T163" s="8">
        <f t="shared" si="2"/>
        <v>6.910569105691057E-2</v>
      </c>
    </row>
    <row r="164" spans="1:20" hidden="1" outlineLevel="1" x14ac:dyDescent="0.25">
      <c r="A164" s="182"/>
      <c r="B164" s="136" t="s">
        <v>872</v>
      </c>
      <c r="C164" s="136" t="s">
        <v>873</v>
      </c>
      <c r="D164" s="211"/>
      <c r="E164" s="211"/>
      <c r="F164" s="205"/>
      <c r="G164" s="197">
        <v>0.4</v>
      </c>
      <c r="H164" s="353">
        <v>11</v>
      </c>
      <c r="I164" s="198">
        <v>430</v>
      </c>
      <c r="J164" s="199">
        <v>6.7</v>
      </c>
      <c r="K164" s="466"/>
      <c r="L164" s="440"/>
      <c r="M164" s="499"/>
      <c r="N164" s="116"/>
      <c r="O164" s="116"/>
      <c r="P164" s="116"/>
      <c r="Q164" s="418"/>
      <c r="R164" s="116"/>
      <c r="T164" s="8">
        <f t="shared" si="2"/>
        <v>8.7398373983739841E-2</v>
      </c>
    </row>
    <row r="165" spans="1:20" hidden="1" outlineLevel="1" x14ac:dyDescent="0.25">
      <c r="A165" s="182"/>
      <c r="B165" s="136"/>
      <c r="C165" s="136"/>
      <c r="D165" s="211"/>
      <c r="E165" s="211"/>
      <c r="F165" s="205"/>
      <c r="G165" s="290"/>
      <c r="H165" s="354"/>
      <c r="I165" s="198"/>
      <c r="J165" s="325"/>
      <c r="K165" s="466"/>
      <c r="L165" s="440"/>
      <c r="M165" s="480"/>
      <c r="N165" s="116"/>
      <c r="O165" s="116"/>
      <c r="P165" s="116"/>
      <c r="Q165" s="418"/>
      <c r="R165" s="116"/>
      <c r="T165" s="8">
        <f t="shared" si="2"/>
        <v>0</v>
      </c>
    </row>
    <row r="166" spans="1:20" hidden="1" outlineLevel="1" x14ac:dyDescent="0.25">
      <c r="A166" s="245"/>
      <c r="B166" s="246"/>
      <c r="C166" s="246"/>
      <c r="D166" s="247"/>
      <c r="E166" s="247"/>
      <c r="F166" s="248"/>
      <c r="G166" s="197"/>
      <c r="H166" s="353"/>
      <c r="I166" s="310"/>
      <c r="J166" s="199"/>
      <c r="K166" s="466"/>
      <c r="L166" s="440"/>
      <c r="M166" s="482"/>
      <c r="Q166" s="419"/>
      <c r="T166" s="8">
        <f t="shared" si="2"/>
        <v>0</v>
      </c>
    </row>
    <row r="167" spans="1:20" hidden="1" outlineLevel="1" x14ac:dyDescent="0.25">
      <c r="A167" s="43" t="s">
        <v>775</v>
      </c>
      <c r="B167" s="200"/>
      <c r="C167" s="136"/>
      <c r="D167" s="137"/>
      <c r="E167" s="202"/>
      <c r="F167" s="204"/>
      <c r="G167" s="197"/>
      <c r="H167" s="353"/>
      <c r="I167" s="198"/>
      <c r="J167" s="199"/>
      <c r="K167" s="466"/>
      <c r="L167" s="440"/>
      <c r="M167" s="482"/>
      <c r="Q167" s="419"/>
      <c r="T167" s="8">
        <f t="shared" si="2"/>
        <v>0</v>
      </c>
    </row>
    <row r="168" spans="1:20" hidden="1" outlineLevel="1" x14ac:dyDescent="0.25">
      <c r="A168" s="43" t="s">
        <v>776</v>
      </c>
      <c r="B168" s="200"/>
      <c r="C168" s="136"/>
      <c r="D168" s="137"/>
      <c r="E168" s="202"/>
      <c r="F168" s="204"/>
      <c r="G168" s="197"/>
      <c r="H168" s="353"/>
      <c r="I168" s="198"/>
      <c r="J168" s="199"/>
      <c r="K168" s="466"/>
      <c r="L168" s="440"/>
      <c r="M168" s="482"/>
      <c r="Q168" s="419"/>
      <c r="T168" s="8">
        <f t="shared" si="2"/>
        <v>0</v>
      </c>
    </row>
    <row r="169" spans="1:20" hidden="1" outlineLevel="1" x14ac:dyDescent="0.25">
      <c r="A169" s="43" t="s">
        <v>613</v>
      </c>
      <c r="B169" s="200"/>
      <c r="C169" s="136"/>
      <c r="D169" s="137"/>
      <c r="E169" s="202"/>
      <c r="F169" s="204"/>
      <c r="G169" s="197"/>
      <c r="H169" s="353"/>
      <c r="I169" s="198"/>
      <c r="J169" s="199"/>
      <c r="K169" s="466"/>
      <c r="L169" s="440"/>
      <c r="M169" s="482"/>
      <c r="Q169" s="419"/>
      <c r="T169" s="8">
        <f t="shared" si="2"/>
        <v>0</v>
      </c>
    </row>
    <row r="170" spans="1:20" hidden="1" outlineLevel="1" x14ac:dyDescent="0.25">
      <c r="A170" s="43" t="s">
        <v>874</v>
      </c>
      <c r="B170" s="136"/>
      <c r="C170" s="136"/>
      <c r="D170" s="211"/>
      <c r="E170" s="211"/>
      <c r="F170" s="205"/>
      <c r="G170" s="197"/>
      <c r="H170" s="353"/>
      <c r="I170" s="198"/>
      <c r="J170" s="199"/>
      <c r="K170" s="466"/>
      <c r="L170" s="440"/>
      <c r="M170" s="482"/>
      <c r="Q170" s="419"/>
      <c r="T170" s="8">
        <f t="shared" si="2"/>
        <v>0</v>
      </c>
    </row>
    <row r="171" spans="1:20" hidden="1" outlineLevel="1" x14ac:dyDescent="0.25">
      <c r="A171" s="220"/>
      <c r="B171" s="135"/>
      <c r="C171" s="135"/>
      <c r="D171" s="135"/>
      <c r="E171" s="135"/>
      <c r="F171" s="135"/>
      <c r="G171" s="171"/>
      <c r="H171" s="349"/>
      <c r="I171" s="135"/>
      <c r="J171" s="207"/>
      <c r="K171" s="466"/>
      <c r="L171" s="440"/>
      <c r="M171" s="501"/>
      <c r="Q171" s="419"/>
      <c r="T171" s="8">
        <f t="shared" si="2"/>
        <v>0</v>
      </c>
    </row>
    <row r="172" spans="1:20" hidden="1" outlineLevel="1" x14ac:dyDescent="0.25">
      <c r="A172" s="118"/>
      <c r="B172" s="135"/>
      <c r="C172" s="135"/>
      <c r="D172" s="135"/>
      <c r="E172" s="135"/>
      <c r="F172" s="135"/>
      <c r="G172" s="171"/>
      <c r="H172" s="349"/>
      <c r="I172" s="135"/>
      <c r="J172" s="207"/>
      <c r="K172" s="466"/>
      <c r="L172" s="440"/>
      <c r="M172" s="501"/>
      <c r="Q172" s="419"/>
      <c r="T172" s="8">
        <f t="shared" si="2"/>
        <v>0</v>
      </c>
    </row>
    <row r="173" spans="1:20" hidden="1" outlineLevel="1" x14ac:dyDescent="0.25">
      <c r="A173" s="135"/>
      <c r="B173" s="135"/>
      <c r="C173" s="135"/>
      <c r="D173" s="135"/>
      <c r="E173" s="135"/>
      <c r="F173" s="135"/>
      <c r="G173" s="171"/>
      <c r="H173" s="349"/>
      <c r="I173" s="135"/>
      <c r="J173" s="207"/>
      <c r="K173" s="466"/>
      <c r="L173" s="440"/>
      <c r="M173" s="501"/>
      <c r="Q173" s="419"/>
      <c r="T173" s="8">
        <f t="shared" si="2"/>
        <v>0</v>
      </c>
    </row>
    <row r="174" spans="1:20" hidden="1" outlineLevel="1" x14ac:dyDescent="0.25">
      <c r="A174" s="203"/>
      <c r="B174" s="203"/>
      <c r="C174" s="203"/>
      <c r="D174" s="203"/>
      <c r="E174" s="203"/>
      <c r="F174" s="203"/>
      <c r="G174" s="311"/>
      <c r="H174" s="358"/>
      <c r="I174" s="257"/>
      <c r="J174" s="257"/>
      <c r="K174" s="466"/>
      <c r="L174" s="440"/>
      <c r="M174" s="483"/>
      <c r="Q174" s="419"/>
      <c r="T174" s="8">
        <f t="shared" si="2"/>
        <v>0</v>
      </c>
    </row>
    <row r="175" spans="1:20" ht="15.75" hidden="1" outlineLevel="1" x14ac:dyDescent="0.25">
      <c r="A175" s="334" t="s">
        <v>648</v>
      </c>
      <c r="B175" s="196"/>
      <c r="C175" s="43"/>
      <c r="D175" s="249"/>
      <c r="E175" s="249"/>
      <c r="F175" s="191"/>
      <c r="G175" s="171"/>
      <c r="H175" s="349"/>
      <c r="I175" s="172"/>
      <c r="J175" s="80"/>
      <c r="K175" s="466"/>
      <c r="L175" s="440"/>
      <c r="M175" s="484"/>
      <c r="Q175" s="419"/>
      <c r="T175" s="8">
        <f t="shared" si="2"/>
        <v>0</v>
      </c>
    </row>
    <row r="176" spans="1:20" ht="35.25" hidden="1" outlineLevel="1" x14ac:dyDescent="0.25">
      <c r="A176" s="103" t="s">
        <v>777</v>
      </c>
      <c r="B176" s="119"/>
      <c r="C176" s="126"/>
      <c r="D176" s="121"/>
      <c r="E176" s="121"/>
      <c r="F176" s="122"/>
      <c r="G176" s="312"/>
      <c r="H176" s="359"/>
      <c r="I176" s="313"/>
      <c r="J176" s="305"/>
      <c r="K176" s="466"/>
      <c r="L176" s="440"/>
      <c r="M176" s="485"/>
      <c r="Q176" s="419"/>
      <c r="T176" s="8">
        <f t="shared" si="2"/>
        <v>0</v>
      </c>
    </row>
    <row r="177" spans="1:20" ht="18" hidden="1" outlineLevel="1" x14ac:dyDescent="0.25">
      <c r="A177" s="339" t="s">
        <v>643</v>
      </c>
      <c r="B177" s="340"/>
      <c r="C177" s="337"/>
      <c r="D177" s="338"/>
      <c r="E177" s="121"/>
      <c r="F177" s="122"/>
      <c r="G177" s="312"/>
      <c r="H177" s="359"/>
      <c r="I177" s="313"/>
      <c r="J177" s="314"/>
      <c r="K177" s="466"/>
      <c r="L177" s="440"/>
      <c r="M177" s="485"/>
      <c r="Q177" s="419"/>
      <c r="T177" s="8">
        <f t="shared" si="2"/>
        <v>0</v>
      </c>
    </row>
    <row r="178" spans="1:20" hidden="1" outlineLevel="1" x14ac:dyDescent="0.25">
      <c r="A178" s="129"/>
      <c r="B178" s="129"/>
      <c r="C178" s="130"/>
      <c r="D178" s="131"/>
      <c r="E178" s="131"/>
      <c r="F178" s="131"/>
      <c r="G178" s="132"/>
      <c r="H178" s="348"/>
      <c r="I178" s="133"/>
      <c r="J178" s="134"/>
      <c r="K178" s="466"/>
      <c r="L178" s="440"/>
      <c r="M178" s="501"/>
      <c r="Q178" s="419"/>
      <c r="T178" s="8">
        <f t="shared" si="2"/>
        <v>0</v>
      </c>
    </row>
    <row r="179" spans="1:20" hidden="1" outlineLevel="1" x14ac:dyDescent="0.25">
      <c r="A179" s="128"/>
      <c r="B179" s="128"/>
      <c r="C179" s="137"/>
      <c r="D179" s="138"/>
      <c r="E179" s="138"/>
      <c r="F179" s="138"/>
      <c r="G179" s="171"/>
      <c r="H179" s="349"/>
      <c r="I179" s="172"/>
      <c r="J179" s="271"/>
      <c r="K179" s="466"/>
      <c r="L179" s="440"/>
      <c r="M179" s="484"/>
      <c r="Q179" s="419"/>
      <c r="T179" s="8">
        <f t="shared" si="2"/>
        <v>0</v>
      </c>
    </row>
    <row r="180" spans="1:20" hidden="1" outlineLevel="1" x14ac:dyDescent="0.25">
      <c r="A180" s="224"/>
      <c r="B180" s="224"/>
      <c r="C180" s="225"/>
      <c r="D180" s="226"/>
      <c r="E180" s="226"/>
      <c r="F180" s="144"/>
      <c r="G180" s="280" t="s">
        <v>650</v>
      </c>
      <c r="H180" s="356" t="s">
        <v>284</v>
      </c>
      <c r="I180" s="281" t="s">
        <v>651</v>
      </c>
      <c r="J180" s="307" t="s">
        <v>652</v>
      </c>
      <c r="K180" s="466"/>
      <c r="L180" s="440"/>
      <c r="M180" s="486"/>
      <c r="Q180" s="419"/>
      <c r="T180" s="8" t="e">
        <f t="shared" si="2"/>
        <v>#VALUE!</v>
      </c>
    </row>
    <row r="181" spans="1:20" hidden="1" outlineLevel="1" x14ac:dyDescent="0.25">
      <c r="A181" s="224"/>
      <c r="B181" s="224"/>
      <c r="C181" s="227"/>
      <c r="D181" s="226"/>
      <c r="E181" s="226"/>
      <c r="F181" s="144"/>
      <c r="G181" s="308" t="s">
        <v>653</v>
      </c>
      <c r="H181" s="356" t="s">
        <v>654</v>
      </c>
      <c r="I181" s="281" t="s">
        <v>655</v>
      </c>
      <c r="J181" s="307" t="s">
        <v>656</v>
      </c>
      <c r="K181" s="466"/>
      <c r="L181" s="440"/>
      <c r="M181" s="486"/>
      <c r="Q181" s="419"/>
      <c r="T181" s="8" t="e">
        <f t="shared" si="2"/>
        <v>#VALUE!</v>
      </c>
    </row>
    <row r="182" spans="1:20" hidden="1" outlineLevel="1" x14ac:dyDescent="0.25">
      <c r="A182" s="224"/>
      <c r="B182" s="224"/>
      <c r="C182" s="227"/>
      <c r="D182" s="226"/>
      <c r="E182" s="226"/>
      <c r="F182" s="144"/>
      <c r="G182" s="280" t="s">
        <v>657</v>
      </c>
      <c r="H182" s="356" t="s">
        <v>653</v>
      </c>
      <c r="I182" s="281" t="s">
        <v>658</v>
      </c>
      <c r="J182" s="71" t="s">
        <v>659</v>
      </c>
      <c r="K182" s="466"/>
      <c r="L182" s="440"/>
      <c r="M182" s="486"/>
      <c r="Q182" s="419"/>
      <c r="T182" s="8" t="e">
        <f t="shared" si="2"/>
        <v>#VALUE!</v>
      </c>
    </row>
    <row r="183" spans="1:20" hidden="1" outlineLevel="1" x14ac:dyDescent="0.25">
      <c r="A183" s="224"/>
      <c r="B183" s="224"/>
      <c r="C183" s="227"/>
      <c r="D183" s="226"/>
      <c r="E183" s="226"/>
      <c r="F183" s="144"/>
      <c r="G183" s="308" t="s">
        <v>660</v>
      </c>
      <c r="H183" s="356" t="s">
        <v>661</v>
      </c>
      <c r="I183" s="281" t="s">
        <v>662</v>
      </c>
      <c r="J183" s="309" t="s">
        <v>663</v>
      </c>
      <c r="K183" s="466"/>
      <c r="L183" s="440"/>
      <c r="M183" s="486"/>
      <c r="Q183" s="419"/>
      <c r="T183" s="8" t="e">
        <f t="shared" si="2"/>
        <v>#VALUE!</v>
      </c>
    </row>
    <row r="184" spans="1:20" hidden="1" outlineLevel="1" x14ac:dyDescent="0.25">
      <c r="A184" s="129"/>
      <c r="B184" s="129"/>
      <c r="C184" s="130"/>
      <c r="D184" s="131"/>
      <c r="E184" s="131"/>
      <c r="F184" s="131"/>
      <c r="G184" s="132"/>
      <c r="H184" s="348"/>
      <c r="I184" s="133"/>
      <c r="J184" s="131"/>
      <c r="K184" s="466"/>
      <c r="L184" s="440"/>
      <c r="M184" s="501"/>
      <c r="Q184" s="419"/>
      <c r="T184" s="8">
        <f t="shared" si="2"/>
        <v>0</v>
      </c>
    </row>
    <row r="185" spans="1:20" hidden="1" outlineLevel="1" x14ac:dyDescent="0.25">
      <c r="A185" s="118"/>
      <c r="B185" s="128"/>
      <c r="C185" s="156"/>
      <c r="D185" s="157"/>
      <c r="E185" s="157"/>
      <c r="F185" s="138"/>
      <c r="G185" s="158"/>
      <c r="H185" s="258"/>
      <c r="I185" s="159"/>
      <c r="J185" s="157"/>
      <c r="K185" s="466"/>
      <c r="L185" s="440"/>
      <c r="M185" s="501"/>
      <c r="Q185" s="419"/>
      <c r="T185" s="8">
        <f t="shared" si="2"/>
        <v>0</v>
      </c>
    </row>
    <row r="186" spans="1:20" hidden="1" outlineLevel="1" x14ac:dyDescent="0.25">
      <c r="A186" s="174" t="s">
        <v>607</v>
      </c>
      <c r="B186" s="175"/>
      <c r="C186" s="176"/>
      <c r="D186" s="164"/>
      <c r="E186" s="164"/>
      <c r="F186" s="177" t="s">
        <v>536</v>
      </c>
      <c r="G186" s="178"/>
      <c r="H186" s="350"/>
      <c r="I186" s="179"/>
      <c r="J186" s="164"/>
      <c r="K186" s="466"/>
      <c r="L186" s="440"/>
      <c r="M186" s="502"/>
      <c r="Q186" s="419"/>
      <c r="T186" s="8">
        <f t="shared" si="2"/>
        <v>0</v>
      </c>
    </row>
    <row r="187" spans="1:20" hidden="1" outlineLevel="1" x14ac:dyDescent="0.25">
      <c r="A187" s="180"/>
      <c r="B187" s="180"/>
      <c r="C187" s="181"/>
      <c r="D187" s="135"/>
      <c r="E187" s="135"/>
      <c r="F187" s="182"/>
      <c r="G187" s="171"/>
      <c r="H187" s="349"/>
      <c r="I187" s="172"/>
      <c r="J187" s="173"/>
      <c r="K187" s="466"/>
      <c r="L187" s="440"/>
      <c r="M187" s="482"/>
      <c r="Q187" s="419"/>
      <c r="T187" s="8">
        <f t="shared" si="2"/>
        <v>0</v>
      </c>
    </row>
    <row r="188" spans="1:20" hidden="1" outlineLevel="1" x14ac:dyDescent="0.25">
      <c r="A188" s="184" t="s">
        <v>624</v>
      </c>
      <c r="B188" s="185" t="s">
        <v>875</v>
      </c>
      <c r="C188" s="235"/>
      <c r="D188" s="187"/>
      <c r="E188" s="187"/>
      <c r="F188" s="137"/>
      <c r="G188" s="171"/>
      <c r="H188" s="349"/>
      <c r="I188" s="135"/>
      <c r="J188" s="207"/>
      <c r="K188" s="466"/>
      <c r="L188" s="448"/>
      <c r="M188" s="484"/>
      <c r="Q188" s="419"/>
      <c r="T188" s="8">
        <f t="shared" si="2"/>
        <v>0</v>
      </c>
    </row>
    <row r="189" spans="1:20" hidden="1" outlineLevel="1" x14ac:dyDescent="0.25">
      <c r="A189" s="232"/>
      <c r="B189" s="243"/>
      <c r="C189" s="250"/>
      <c r="D189" s="251"/>
      <c r="E189" s="251"/>
      <c r="F189" s="137"/>
      <c r="G189" s="171"/>
      <c r="H189" s="349"/>
      <c r="I189" s="135"/>
      <c r="J189" s="207"/>
      <c r="K189" s="466"/>
      <c r="L189" s="440"/>
      <c r="M189" s="484"/>
      <c r="Q189" s="419"/>
      <c r="T189" s="8">
        <f t="shared" si="2"/>
        <v>0</v>
      </c>
    </row>
    <row r="190" spans="1:20" hidden="1" outlineLevel="1" x14ac:dyDescent="0.25">
      <c r="A190" s="137"/>
      <c r="B190" s="136" t="s">
        <v>876</v>
      </c>
      <c r="C190" s="136" t="s">
        <v>877</v>
      </c>
      <c r="D190" s="211"/>
      <c r="E190" s="206"/>
      <c r="F190" s="205"/>
      <c r="G190" s="394">
        <v>0.7</v>
      </c>
      <c r="H190" s="353">
        <v>19</v>
      </c>
      <c r="I190" s="198">
        <v>650</v>
      </c>
      <c r="J190" s="199">
        <v>7.2</v>
      </c>
      <c r="K190" s="466"/>
      <c r="L190" s="440"/>
      <c r="M190" s="503"/>
      <c r="Q190" s="419"/>
      <c r="T190" s="8">
        <f t="shared" si="2"/>
        <v>0.13211382113821138</v>
      </c>
    </row>
    <row r="191" spans="1:20" hidden="1" outlineLevel="1" x14ac:dyDescent="0.25">
      <c r="A191" s="137"/>
      <c r="B191" s="136"/>
      <c r="C191" s="136" t="s">
        <v>878</v>
      </c>
      <c r="D191" s="206" t="s">
        <v>879</v>
      </c>
      <c r="E191" s="211"/>
      <c r="F191" s="205"/>
      <c r="G191" s="394">
        <v>0.2</v>
      </c>
      <c r="H191" s="353">
        <v>6</v>
      </c>
      <c r="I191" s="198">
        <v>230</v>
      </c>
      <c r="J191" s="199">
        <v>9.1</v>
      </c>
      <c r="K191" s="472"/>
      <c r="L191" s="442"/>
      <c r="M191" s="503"/>
      <c r="Q191" s="419"/>
      <c r="T191" s="8">
        <f t="shared" si="2"/>
        <v>4.6747967479674794E-2</v>
      </c>
    </row>
    <row r="192" spans="1:20" hidden="1" outlineLevel="1" x14ac:dyDescent="0.25">
      <c r="A192" s="137"/>
      <c r="B192" s="136"/>
      <c r="C192" s="136" t="s">
        <v>880</v>
      </c>
      <c r="D192" s="206" t="s">
        <v>881</v>
      </c>
      <c r="E192" s="211"/>
      <c r="F192" s="205"/>
      <c r="G192" s="394">
        <v>0.3</v>
      </c>
      <c r="H192" s="353">
        <v>9</v>
      </c>
      <c r="I192" s="198">
        <v>320</v>
      </c>
      <c r="J192" s="199">
        <v>11.9</v>
      </c>
      <c r="K192" s="472"/>
      <c r="L192" s="442"/>
      <c r="M192" s="503"/>
      <c r="Q192" s="419"/>
      <c r="T192" s="8">
        <f t="shared" si="2"/>
        <v>6.5040650406504072E-2</v>
      </c>
    </row>
    <row r="193" spans="1:20" hidden="1" outlineLevel="1" x14ac:dyDescent="0.25">
      <c r="A193" s="137"/>
      <c r="B193" s="136"/>
      <c r="C193" s="136" t="s">
        <v>882</v>
      </c>
      <c r="D193" s="206" t="s">
        <v>883</v>
      </c>
      <c r="E193" s="137"/>
      <c r="F193" s="205"/>
      <c r="G193" s="394">
        <v>0.1</v>
      </c>
      <c r="H193" s="353">
        <v>3</v>
      </c>
      <c r="I193" s="198">
        <v>150</v>
      </c>
      <c r="J193" s="199">
        <v>13</v>
      </c>
      <c r="K193" s="472"/>
      <c r="L193" s="442"/>
      <c r="M193" s="503"/>
      <c r="Q193" s="419"/>
      <c r="T193" s="8">
        <f t="shared" si="2"/>
        <v>3.048780487804878E-2</v>
      </c>
    </row>
    <row r="194" spans="1:20" hidden="1" outlineLevel="1" x14ac:dyDescent="0.25">
      <c r="A194" s="137"/>
      <c r="B194" s="200"/>
      <c r="C194" s="201" t="s">
        <v>884</v>
      </c>
      <c r="D194" s="204" t="s">
        <v>885</v>
      </c>
      <c r="E194" s="137"/>
      <c r="F194" s="205"/>
      <c r="G194" s="395">
        <v>0</v>
      </c>
      <c r="H194" s="375">
        <v>1</v>
      </c>
      <c r="I194" s="193">
        <v>10</v>
      </c>
      <c r="J194" s="199">
        <v>32.1</v>
      </c>
      <c r="K194" s="472"/>
      <c r="L194" s="442"/>
      <c r="M194" s="503"/>
      <c r="Q194" s="419"/>
      <c r="T194" s="8">
        <f t="shared" si="2"/>
        <v>2.0325203252032522E-3</v>
      </c>
    </row>
    <row r="195" spans="1:20" hidden="1" outlineLevel="1" x14ac:dyDescent="0.25">
      <c r="A195" s="137"/>
      <c r="B195" s="200"/>
      <c r="C195" s="201"/>
      <c r="D195" s="204"/>
      <c r="E195" s="137"/>
      <c r="F195" s="205"/>
      <c r="G195" s="192"/>
      <c r="H195" s="352"/>
      <c r="I195" s="193"/>
      <c r="J195" s="207"/>
      <c r="K195" s="473"/>
      <c r="L195" s="443"/>
      <c r="M195" s="503"/>
      <c r="Q195" s="419"/>
      <c r="T195" s="8">
        <f t="shared" si="2"/>
        <v>0</v>
      </c>
    </row>
    <row r="196" spans="1:20" hidden="1" outlineLevel="1" x14ac:dyDescent="0.25">
      <c r="A196" s="137"/>
      <c r="B196" s="136" t="s">
        <v>886</v>
      </c>
      <c r="C196" s="201" t="s">
        <v>887</v>
      </c>
      <c r="D196" s="204"/>
      <c r="E196" s="137"/>
      <c r="F196" s="205"/>
      <c r="G196" s="394">
        <v>0.2</v>
      </c>
      <c r="H196" s="353">
        <v>5</v>
      </c>
      <c r="I196" s="198">
        <v>230</v>
      </c>
      <c r="J196" s="199">
        <v>11.9</v>
      </c>
      <c r="K196" s="473"/>
      <c r="L196" s="443"/>
      <c r="M196" s="503"/>
      <c r="Q196" s="419"/>
      <c r="T196" s="8">
        <f t="shared" si="2"/>
        <v>4.6747967479674794E-2</v>
      </c>
    </row>
    <row r="197" spans="1:20" hidden="1" outlineLevel="1" x14ac:dyDescent="0.25">
      <c r="A197" s="200"/>
      <c r="B197" s="201"/>
      <c r="C197" s="211"/>
      <c r="D197" s="137"/>
      <c r="E197" s="137"/>
      <c r="F197" s="205"/>
      <c r="G197" s="192"/>
      <c r="H197" s="352"/>
      <c r="I197" s="193"/>
      <c r="J197" s="194"/>
      <c r="K197" s="473"/>
      <c r="L197" s="443"/>
      <c r="M197" s="503"/>
      <c r="Q197" s="419"/>
      <c r="T197" s="8">
        <f t="shared" si="2"/>
        <v>0</v>
      </c>
    </row>
    <row r="198" spans="1:20" hidden="1" outlineLevel="1" x14ac:dyDescent="0.25">
      <c r="A198" s="137"/>
      <c r="B198" s="136" t="s">
        <v>888</v>
      </c>
      <c r="C198" s="201" t="s">
        <v>889</v>
      </c>
      <c r="D198" s="204"/>
      <c r="E198" s="137"/>
      <c r="F198" s="205"/>
      <c r="G198" s="197">
        <v>0.2</v>
      </c>
      <c r="H198" s="353">
        <v>6</v>
      </c>
      <c r="I198" s="198">
        <v>130</v>
      </c>
      <c r="J198" s="199">
        <v>11.5</v>
      </c>
      <c r="K198" s="473"/>
      <c r="L198" s="443"/>
      <c r="M198" s="503"/>
      <c r="Q198" s="419"/>
      <c r="T198" s="8">
        <f t="shared" si="2"/>
        <v>2.6422764227642278E-2</v>
      </c>
    </row>
    <row r="199" spans="1:20" hidden="1" outlineLevel="1" x14ac:dyDescent="0.25">
      <c r="A199" s="137"/>
      <c r="B199" s="200"/>
      <c r="C199" s="201" t="s">
        <v>890</v>
      </c>
      <c r="D199" s="136" t="s">
        <v>891</v>
      </c>
      <c r="E199" s="137"/>
      <c r="F199" s="205"/>
      <c r="G199" s="192">
        <v>0.2</v>
      </c>
      <c r="H199" s="352">
        <v>5</v>
      </c>
      <c r="I199" s="193">
        <v>100</v>
      </c>
      <c r="J199" s="199">
        <v>13.1</v>
      </c>
      <c r="K199" s="473"/>
      <c r="L199" s="443"/>
      <c r="M199" s="503"/>
      <c r="Q199" s="419"/>
      <c r="T199" s="8">
        <f t="shared" si="2"/>
        <v>2.032520325203252E-2</v>
      </c>
    </row>
    <row r="200" spans="1:20" hidden="1" outlineLevel="1" x14ac:dyDescent="0.25">
      <c r="A200" s="137"/>
      <c r="B200" s="200"/>
      <c r="C200" s="201" t="s">
        <v>892</v>
      </c>
      <c r="D200" s="137" t="s">
        <v>893</v>
      </c>
      <c r="E200" s="137"/>
      <c r="F200" s="205"/>
      <c r="G200" s="197">
        <v>0</v>
      </c>
      <c r="H200" s="353">
        <v>1</v>
      </c>
      <c r="I200" s="198">
        <v>30</v>
      </c>
      <c r="J200" s="199">
        <v>19.100000000000001</v>
      </c>
      <c r="K200" s="473"/>
      <c r="L200" s="443"/>
      <c r="M200" s="503"/>
      <c r="Q200" s="419"/>
      <c r="T200" s="8">
        <f t="shared" si="2"/>
        <v>6.0975609756097563E-3</v>
      </c>
    </row>
    <row r="201" spans="1:20" hidden="1" outlineLevel="1" x14ac:dyDescent="0.25">
      <c r="A201" s="195"/>
      <c r="B201" s="196"/>
      <c r="C201" s="211"/>
      <c r="D201" s="135"/>
      <c r="E201" s="135"/>
      <c r="F201" s="84"/>
      <c r="G201" s="192"/>
      <c r="H201" s="352"/>
      <c r="I201" s="193"/>
      <c r="J201" s="199"/>
      <c r="K201" s="473"/>
      <c r="L201" s="443"/>
      <c r="M201" s="503"/>
      <c r="Q201" s="419"/>
      <c r="T201" s="8">
        <f t="shared" si="2"/>
        <v>0</v>
      </c>
    </row>
    <row r="202" spans="1:20" outlineLevel="1" x14ac:dyDescent="0.25">
      <c r="A202" s="155">
        <v>3.2</v>
      </c>
      <c r="B202" s="196" t="s">
        <v>894</v>
      </c>
      <c r="C202" s="238"/>
      <c r="D202" s="135"/>
      <c r="E202" s="135"/>
      <c r="F202" s="43"/>
      <c r="G202" s="197">
        <v>4.5999999999999996</v>
      </c>
      <c r="H202" s="353">
        <v>125</v>
      </c>
      <c r="I202" s="198">
        <v>1290</v>
      </c>
      <c r="J202" s="199">
        <v>3.8</v>
      </c>
      <c r="K202" s="473"/>
      <c r="L202" s="449" t="str">
        <f>B202</f>
        <v>Footwear</v>
      </c>
      <c r="M202" s="504">
        <f>G202*50%</f>
        <v>2.2999999999999998</v>
      </c>
      <c r="N202" s="116"/>
      <c r="O202" s="116"/>
      <c r="P202" s="116"/>
      <c r="Q202" s="418"/>
      <c r="R202" s="116"/>
      <c r="T202" s="8">
        <f t="shared" si="2"/>
        <v>0.26219512195121952</v>
      </c>
    </row>
    <row r="203" spans="1:20" hidden="1" outlineLevel="1" x14ac:dyDescent="0.25">
      <c r="A203" s="137"/>
      <c r="B203" s="136" t="s">
        <v>895</v>
      </c>
      <c r="C203" s="136" t="s">
        <v>896</v>
      </c>
      <c r="D203" s="205"/>
      <c r="E203" s="205"/>
      <c r="F203" s="205"/>
      <c r="G203" s="197">
        <v>1.6</v>
      </c>
      <c r="H203" s="353">
        <v>43</v>
      </c>
      <c r="I203" s="198">
        <v>380</v>
      </c>
      <c r="J203" s="199">
        <v>6.3</v>
      </c>
      <c r="K203" s="473"/>
      <c r="L203" s="443"/>
      <c r="M203" s="503"/>
      <c r="Q203" s="419"/>
      <c r="T203" s="8">
        <f t="shared" si="2"/>
        <v>7.7235772357723581E-2</v>
      </c>
    </row>
    <row r="204" spans="1:20" hidden="1" outlineLevel="1" x14ac:dyDescent="0.25">
      <c r="A204" s="137"/>
      <c r="B204" s="136" t="s">
        <v>897</v>
      </c>
      <c r="C204" s="136" t="s">
        <v>898</v>
      </c>
      <c r="D204" s="205"/>
      <c r="E204" s="205"/>
      <c r="F204" s="205"/>
      <c r="G204" s="197">
        <v>2.2000000000000002</v>
      </c>
      <c r="H204" s="353">
        <v>59</v>
      </c>
      <c r="I204" s="198">
        <v>740</v>
      </c>
      <c r="J204" s="199">
        <v>5.2</v>
      </c>
      <c r="K204" s="473"/>
      <c r="L204" s="443"/>
      <c r="M204" s="503"/>
      <c r="Q204" s="419"/>
      <c r="T204" s="8">
        <f t="shared" si="2"/>
        <v>0.15040650406504066</v>
      </c>
    </row>
    <row r="205" spans="1:20" hidden="1" outlineLevel="1" x14ac:dyDescent="0.25">
      <c r="A205" s="137"/>
      <c r="B205" s="136" t="s">
        <v>899</v>
      </c>
      <c r="C205" s="136" t="s">
        <v>900</v>
      </c>
      <c r="D205" s="205"/>
      <c r="E205" s="205"/>
      <c r="F205" s="205"/>
      <c r="G205" s="394">
        <v>0.8</v>
      </c>
      <c r="H205" s="353">
        <v>21</v>
      </c>
      <c r="I205" s="198">
        <v>350</v>
      </c>
      <c r="J205" s="199">
        <v>7.8</v>
      </c>
      <c r="K205" s="473"/>
      <c r="L205" s="443"/>
      <c r="M205" s="503"/>
      <c r="Q205" s="419"/>
      <c r="T205" s="8">
        <f t="shared" si="2"/>
        <v>7.113821138211382E-2</v>
      </c>
    </row>
    <row r="206" spans="1:20" hidden="1" outlineLevel="1" x14ac:dyDescent="0.25">
      <c r="A206" s="137"/>
      <c r="B206" s="136" t="s">
        <v>901</v>
      </c>
      <c r="C206" s="201" t="s">
        <v>902</v>
      </c>
      <c r="D206" s="137"/>
      <c r="E206" s="137"/>
      <c r="F206" s="205"/>
      <c r="G206" s="394">
        <v>0.1</v>
      </c>
      <c r="H206" s="353">
        <v>1</v>
      </c>
      <c r="I206" s="198">
        <v>30</v>
      </c>
      <c r="J206" s="199">
        <v>24.5</v>
      </c>
      <c r="K206" s="473"/>
      <c r="L206" s="443"/>
      <c r="M206" s="503"/>
      <c r="Q206" s="419"/>
      <c r="T206" s="8">
        <f t="shared" si="2"/>
        <v>6.0975609756097563E-3</v>
      </c>
    </row>
    <row r="207" spans="1:20" hidden="1" outlineLevel="1" x14ac:dyDescent="0.25">
      <c r="A207" s="195"/>
      <c r="B207" s="190"/>
      <c r="C207" s="206"/>
      <c r="D207" s="135"/>
      <c r="E207" s="135"/>
      <c r="F207" s="84"/>
      <c r="G207" s="197"/>
      <c r="H207" s="353"/>
      <c r="I207" s="198"/>
      <c r="J207" s="199"/>
      <c r="K207" s="473"/>
      <c r="L207" s="443"/>
      <c r="M207" s="503"/>
      <c r="Q207" s="419"/>
      <c r="T207" s="8">
        <f t="shared" si="2"/>
        <v>0</v>
      </c>
    </row>
    <row r="208" spans="1:20" hidden="1" outlineLevel="1" x14ac:dyDescent="0.25">
      <c r="A208" s="136"/>
      <c r="B208" s="200"/>
      <c r="C208" s="204"/>
      <c r="D208" s="137"/>
      <c r="E208" s="137"/>
      <c r="F208" s="205"/>
      <c r="G208" s="197"/>
      <c r="H208" s="353"/>
      <c r="I208" s="198"/>
      <c r="J208" s="199"/>
      <c r="K208" s="473"/>
      <c r="L208" s="443"/>
      <c r="M208" s="503"/>
      <c r="Q208" s="419"/>
      <c r="T208" s="8">
        <f t="shared" si="2"/>
        <v>0</v>
      </c>
    </row>
    <row r="209" spans="1:20" x14ac:dyDescent="0.25">
      <c r="A209" s="234">
        <v>4</v>
      </c>
      <c r="B209" s="252" t="s">
        <v>903</v>
      </c>
      <c r="C209" s="253"/>
      <c r="D209" s="186"/>
      <c r="E209" s="186"/>
      <c r="F209" s="235"/>
      <c r="G209" s="236">
        <v>72.5</v>
      </c>
      <c r="H209" s="357">
        <v>1973</v>
      </c>
      <c r="I209" s="237">
        <v>4910</v>
      </c>
      <c r="J209" s="326">
        <v>1.7</v>
      </c>
      <c r="K209" s="473">
        <v>4</v>
      </c>
      <c r="L209" s="450" t="str">
        <f>B209</f>
        <v>Housing(net)2, fuel and power</v>
      </c>
      <c r="M209" s="500">
        <f>M211+M217+M223+M228</f>
        <v>35.700000000000003</v>
      </c>
      <c r="N209" s="391">
        <f>G209</f>
        <v>72.5</v>
      </c>
      <c r="O209" s="392">
        <f>(M209/N209)</f>
        <v>0.49241379310344829</v>
      </c>
      <c r="P209" s="392">
        <v>0.5</v>
      </c>
      <c r="Q209" s="417" t="s">
        <v>670</v>
      </c>
      <c r="R209" s="116" t="s">
        <v>904</v>
      </c>
      <c r="T209" s="8">
        <f t="shared" si="2"/>
        <v>0.99796747967479671</v>
      </c>
    </row>
    <row r="210" spans="1:20" hidden="1" outlineLevel="1" x14ac:dyDescent="0.25">
      <c r="A210" s="155"/>
      <c r="B210" s="196"/>
      <c r="C210" s="211"/>
      <c r="D210" s="135"/>
      <c r="E210" s="135"/>
      <c r="F210" s="84"/>
      <c r="G210" s="197"/>
      <c r="H210" s="353"/>
      <c r="I210" s="198"/>
      <c r="J210" s="207"/>
      <c r="K210" s="473"/>
      <c r="L210" s="443"/>
      <c r="M210" s="503"/>
      <c r="Q210" s="419"/>
      <c r="T210" s="8">
        <f t="shared" ref="T210:T273" si="3">I210/$I$11</f>
        <v>0</v>
      </c>
    </row>
    <row r="211" spans="1:20" outlineLevel="1" x14ac:dyDescent="0.25">
      <c r="A211" s="195">
        <v>4.0999999999999996</v>
      </c>
      <c r="B211" s="196" t="s">
        <v>905</v>
      </c>
      <c r="C211" s="195"/>
      <c r="D211" s="135"/>
      <c r="E211" s="135"/>
      <c r="F211" s="135"/>
      <c r="G211" s="397">
        <v>48.6</v>
      </c>
      <c r="H211" s="258">
        <v>1322</v>
      </c>
      <c r="I211" s="159">
        <v>1610</v>
      </c>
      <c r="J211" s="254">
        <v>2.6</v>
      </c>
      <c r="K211" s="474"/>
      <c r="L211" s="451" t="str">
        <f>B211</f>
        <v>Actual rentals for housing</v>
      </c>
      <c r="M211" s="535">
        <f>SUM(M212:M216)</f>
        <v>32.5</v>
      </c>
      <c r="N211" s="116"/>
      <c r="O211" s="116"/>
      <c r="P211" s="116"/>
      <c r="Q211" s="418" t="s">
        <v>587</v>
      </c>
      <c r="R211" s="116" t="s">
        <v>906</v>
      </c>
      <c r="T211" s="8">
        <f t="shared" si="3"/>
        <v>0.32723577235772355</v>
      </c>
    </row>
    <row r="212" spans="1:20" hidden="1" outlineLevel="1" x14ac:dyDescent="0.25">
      <c r="A212" s="137"/>
      <c r="B212" s="136" t="s">
        <v>907</v>
      </c>
      <c r="C212" s="136" t="s">
        <v>908</v>
      </c>
      <c r="D212" s="137"/>
      <c r="E212" s="137"/>
      <c r="F212" s="137"/>
      <c r="G212" s="158">
        <v>48.3</v>
      </c>
      <c r="H212" s="258">
        <v>1316</v>
      </c>
      <c r="I212" s="159">
        <v>1600</v>
      </c>
      <c r="J212" s="254">
        <v>2.6</v>
      </c>
      <c r="K212" s="474"/>
      <c r="L212" s="444"/>
      <c r="M212" s="503"/>
      <c r="Q212" s="419"/>
      <c r="T212" s="8">
        <f t="shared" si="3"/>
        <v>0.32520325203252032</v>
      </c>
    </row>
    <row r="213" spans="1:20" hidden="1" outlineLevel="1" x14ac:dyDescent="0.25">
      <c r="A213" s="137"/>
      <c r="B213" s="136" t="s">
        <v>909</v>
      </c>
      <c r="C213" s="255" t="s">
        <v>910</v>
      </c>
      <c r="D213" s="137"/>
      <c r="E213" s="137"/>
      <c r="F213" s="137"/>
      <c r="G213" s="171">
        <v>15.9</v>
      </c>
      <c r="H213" s="349">
        <v>432</v>
      </c>
      <c r="I213" s="172">
        <v>970</v>
      </c>
      <c r="J213" s="254">
        <v>4.2</v>
      </c>
      <c r="K213" s="474"/>
      <c r="L213" s="444"/>
      <c r="M213" s="503"/>
      <c r="Q213" s="419"/>
      <c r="T213" s="8">
        <f t="shared" si="3"/>
        <v>0.19715447154471544</v>
      </c>
    </row>
    <row r="214" spans="1:20" hidden="1" outlineLevel="1" x14ac:dyDescent="0.25">
      <c r="A214" s="203"/>
      <c r="B214" s="136" t="s">
        <v>911</v>
      </c>
      <c r="C214" s="201" t="s">
        <v>912</v>
      </c>
      <c r="D214" s="137"/>
      <c r="E214" s="137"/>
      <c r="F214" s="137"/>
      <c r="G214" s="396">
        <v>32.5</v>
      </c>
      <c r="H214" s="258">
        <v>884</v>
      </c>
      <c r="I214" s="159">
        <v>1330</v>
      </c>
      <c r="J214" s="254">
        <v>3.4</v>
      </c>
      <c r="K214" s="474"/>
      <c r="L214" s="444"/>
      <c r="M214" s="504">
        <f>G214</f>
        <v>32.5</v>
      </c>
      <c r="Q214" s="419"/>
      <c r="T214" s="8">
        <f t="shared" si="3"/>
        <v>0.27032520325203252</v>
      </c>
    </row>
    <row r="215" spans="1:20" hidden="1" outlineLevel="1" x14ac:dyDescent="0.25">
      <c r="A215" s="137"/>
      <c r="B215" s="136" t="s">
        <v>913</v>
      </c>
      <c r="C215" s="201" t="s">
        <v>914</v>
      </c>
      <c r="D215" s="137"/>
      <c r="E215" s="137"/>
      <c r="F215" s="137"/>
      <c r="G215" s="376">
        <v>0.2</v>
      </c>
      <c r="H215" s="375">
        <v>6</v>
      </c>
      <c r="I215" s="256">
        <v>10</v>
      </c>
      <c r="J215" s="257">
        <v>34</v>
      </c>
      <c r="K215" s="475"/>
      <c r="L215" s="445"/>
      <c r="M215" s="504"/>
      <c r="Q215" s="419"/>
      <c r="T215" s="8">
        <f t="shared" si="3"/>
        <v>2.0325203252032522E-3</v>
      </c>
    </row>
    <row r="216" spans="1:20" hidden="1" outlineLevel="1" x14ac:dyDescent="0.25">
      <c r="A216" s="195"/>
      <c r="B216" s="196"/>
      <c r="C216" s="204"/>
      <c r="D216" s="135"/>
      <c r="E216" s="135"/>
      <c r="F216" s="84"/>
      <c r="G216" s="197"/>
      <c r="H216" s="353"/>
      <c r="I216" s="198"/>
      <c r="J216" s="207"/>
      <c r="K216" s="475"/>
      <c r="L216" s="445"/>
      <c r="M216" s="514"/>
      <c r="Q216" s="419"/>
      <c r="T216" s="8">
        <f t="shared" si="3"/>
        <v>0</v>
      </c>
    </row>
    <row r="217" spans="1:20" outlineLevel="1" x14ac:dyDescent="0.25">
      <c r="A217" s="195">
        <v>4.2</v>
      </c>
      <c r="B217" s="196" t="s">
        <v>915</v>
      </c>
      <c r="C217" s="135"/>
      <c r="D217" s="135"/>
      <c r="E217" s="135"/>
      <c r="F217" s="135"/>
      <c r="G217" s="158">
        <v>7.6</v>
      </c>
      <c r="H217" s="258">
        <v>207</v>
      </c>
      <c r="I217" s="159">
        <v>1990</v>
      </c>
      <c r="J217" s="254">
        <v>6.5</v>
      </c>
      <c r="K217" s="475"/>
      <c r="L217" s="441" t="str">
        <f>B217</f>
        <v>Maintenance and repair of dwelling</v>
      </c>
      <c r="M217" s="504">
        <f>SUM(M218:M221)</f>
        <v>1.9</v>
      </c>
      <c r="N217" s="116"/>
      <c r="O217" s="116"/>
      <c r="P217" s="116"/>
      <c r="Q217" s="418" t="s">
        <v>587</v>
      </c>
      <c r="R217" s="116" t="s">
        <v>916</v>
      </c>
      <c r="T217" s="8">
        <f t="shared" si="3"/>
        <v>0.40447154471544716</v>
      </c>
    </row>
    <row r="218" spans="1:20" hidden="1" outlineLevel="1" x14ac:dyDescent="0.25">
      <c r="A218" s="137"/>
      <c r="B218" s="136" t="s">
        <v>917</v>
      </c>
      <c r="C218" s="136" t="s">
        <v>918</v>
      </c>
      <c r="D218" s="137"/>
      <c r="E218" s="137"/>
      <c r="F218" s="137"/>
      <c r="G218" s="158">
        <v>1.1000000000000001</v>
      </c>
      <c r="H218" s="258">
        <v>30</v>
      </c>
      <c r="I218" s="159">
        <v>1120</v>
      </c>
      <c r="J218" s="254">
        <v>7.9</v>
      </c>
      <c r="K218" s="475"/>
      <c r="L218" s="445"/>
      <c r="M218" s="528"/>
      <c r="Q218" s="419"/>
      <c r="T218" s="8">
        <f t="shared" si="3"/>
        <v>0.22764227642276422</v>
      </c>
    </row>
    <row r="219" spans="1:20" hidden="1" outlineLevel="1" x14ac:dyDescent="0.25">
      <c r="A219" s="137"/>
      <c r="B219" s="136" t="s">
        <v>919</v>
      </c>
      <c r="C219" s="201" t="s">
        <v>920</v>
      </c>
      <c r="D219" s="137"/>
      <c r="E219" s="137"/>
      <c r="F219" s="137"/>
      <c r="G219" s="158">
        <v>4.5999999999999996</v>
      </c>
      <c r="H219" s="258">
        <v>126</v>
      </c>
      <c r="I219" s="159">
        <v>910</v>
      </c>
      <c r="J219" s="254">
        <v>9.1</v>
      </c>
      <c r="K219" s="475"/>
      <c r="L219" s="445"/>
      <c r="M219" s="504"/>
      <c r="Q219" s="419"/>
      <c r="T219" s="8">
        <f t="shared" si="3"/>
        <v>0.18495934959349594</v>
      </c>
    </row>
    <row r="220" spans="1:20" hidden="1" outlineLevel="1" x14ac:dyDescent="0.25">
      <c r="A220" s="137"/>
      <c r="B220" s="136" t="s">
        <v>921</v>
      </c>
      <c r="C220" s="201" t="s">
        <v>922</v>
      </c>
      <c r="D220" s="137"/>
      <c r="E220" s="137"/>
      <c r="F220" s="137"/>
      <c r="G220" s="396">
        <v>1.2</v>
      </c>
      <c r="H220" s="258">
        <v>32</v>
      </c>
      <c r="I220" s="159">
        <v>370</v>
      </c>
      <c r="J220" s="254">
        <v>9.4</v>
      </c>
      <c r="K220" s="475"/>
      <c r="L220" s="445"/>
      <c r="M220" s="504">
        <f>G220</f>
        <v>1.2</v>
      </c>
      <c r="Q220" s="419"/>
      <c r="T220" s="8">
        <f t="shared" si="3"/>
        <v>7.5203252032520332E-2</v>
      </c>
    </row>
    <row r="221" spans="1:20" hidden="1" outlineLevel="1" x14ac:dyDescent="0.25">
      <c r="A221" s="137"/>
      <c r="B221" s="136" t="s">
        <v>923</v>
      </c>
      <c r="C221" s="136" t="s">
        <v>924</v>
      </c>
      <c r="D221" s="137"/>
      <c r="E221" s="137"/>
      <c r="F221" s="137"/>
      <c r="G221" s="396">
        <v>0.7</v>
      </c>
      <c r="H221" s="258">
        <v>18</v>
      </c>
      <c r="I221" s="159">
        <v>350</v>
      </c>
      <c r="J221" s="254">
        <v>14.3</v>
      </c>
      <c r="K221" s="475"/>
      <c r="L221" s="445"/>
      <c r="M221" s="504">
        <f>G221</f>
        <v>0.7</v>
      </c>
      <c r="Q221" s="419"/>
      <c r="T221" s="8">
        <f t="shared" si="3"/>
        <v>7.113821138211382E-2</v>
      </c>
    </row>
    <row r="222" spans="1:20" hidden="1" outlineLevel="1" x14ac:dyDescent="0.25">
      <c r="A222" s="136"/>
      <c r="B222" s="136"/>
      <c r="C222" s="211"/>
      <c r="D222" s="137"/>
      <c r="E222" s="137"/>
      <c r="F222" s="205"/>
      <c r="G222" s="197"/>
      <c r="H222" s="353"/>
      <c r="I222" s="198"/>
      <c r="J222" s="199"/>
      <c r="K222" s="475"/>
      <c r="L222" s="445"/>
      <c r="M222" s="514"/>
      <c r="Q222" s="419"/>
      <c r="T222" s="8">
        <f t="shared" si="3"/>
        <v>0</v>
      </c>
    </row>
    <row r="223" spans="1:20" ht="26.25" outlineLevel="1" x14ac:dyDescent="0.25">
      <c r="A223" s="155">
        <v>4.3</v>
      </c>
      <c r="B223" s="155" t="s">
        <v>925</v>
      </c>
      <c r="C223" s="135"/>
      <c r="D223" s="135"/>
      <c r="E223" s="135"/>
      <c r="F223" s="135"/>
      <c r="G223" s="158">
        <v>8.9</v>
      </c>
      <c r="H223" s="258">
        <v>242</v>
      </c>
      <c r="I223" s="159">
        <v>4740</v>
      </c>
      <c r="J223" s="254">
        <v>1.6</v>
      </c>
      <c r="K223" s="475"/>
      <c r="L223" s="446" t="str">
        <f>B223</f>
        <v>Water supply and miscellaneous services relating to the dwelling</v>
      </c>
      <c r="M223" s="504">
        <f>SUM(M224:M227)</f>
        <v>0.1</v>
      </c>
      <c r="N223" s="116"/>
      <c r="O223" s="116"/>
      <c r="P223" s="116"/>
      <c r="Q223" s="418" t="s">
        <v>587</v>
      </c>
      <c r="R223" s="116" t="s">
        <v>926</v>
      </c>
      <c r="T223" s="8">
        <f t="shared" si="3"/>
        <v>0.96341463414634143</v>
      </c>
    </row>
    <row r="224" spans="1:20" hidden="1" outlineLevel="1" x14ac:dyDescent="0.25">
      <c r="A224" s="137"/>
      <c r="B224" s="136" t="s">
        <v>927</v>
      </c>
      <c r="C224" s="201" t="s">
        <v>928</v>
      </c>
      <c r="D224" s="137"/>
      <c r="E224" s="137"/>
      <c r="F224" s="137"/>
      <c r="G224" s="158">
        <v>7.4</v>
      </c>
      <c r="H224" s="258">
        <v>201</v>
      </c>
      <c r="I224" s="159">
        <v>4710</v>
      </c>
      <c r="J224" s="254">
        <v>0.7</v>
      </c>
      <c r="K224" s="475"/>
      <c r="L224" s="445"/>
      <c r="M224" s="528"/>
      <c r="Q224" s="419"/>
      <c r="T224" s="8">
        <f t="shared" si="3"/>
        <v>0.95731707317073167</v>
      </c>
    </row>
    <row r="225" spans="1:20" hidden="1" outlineLevel="1" x14ac:dyDescent="0.25">
      <c r="A225" s="137"/>
      <c r="B225" s="136" t="s">
        <v>929</v>
      </c>
      <c r="C225" s="201" t="s">
        <v>930</v>
      </c>
      <c r="D225" s="137"/>
      <c r="E225" s="137"/>
      <c r="F225" s="137"/>
      <c r="G225" s="397">
        <v>1.4</v>
      </c>
      <c r="H225" s="258">
        <v>39</v>
      </c>
      <c r="I225" s="159">
        <v>490</v>
      </c>
      <c r="J225" s="254">
        <v>9.3000000000000007</v>
      </c>
      <c r="K225" s="475"/>
      <c r="L225" s="445"/>
      <c r="M225" s="504"/>
      <c r="Q225" s="419"/>
      <c r="T225" s="8">
        <f t="shared" si="3"/>
        <v>9.959349593495935E-2</v>
      </c>
    </row>
    <row r="226" spans="1:20" hidden="1" outlineLevel="1" x14ac:dyDescent="0.25">
      <c r="A226" s="203"/>
      <c r="B226" s="136" t="s">
        <v>931</v>
      </c>
      <c r="C226" s="201" t="s">
        <v>932</v>
      </c>
      <c r="D226" s="137"/>
      <c r="E226" s="137"/>
      <c r="F226" s="137"/>
      <c r="G226" s="396">
        <v>0.1</v>
      </c>
      <c r="H226" s="258">
        <v>2</v>
      </c>
      <c r="I226" s="258">
        <v>30</v>
      </c>
      <c r="J226" s="254">
        <v>52.9</v>
      </c>
      <c r="K226" s="475"/>
      <c r="L226" s="445"/>
      <c r="M226" s="504">
        <f>G226</f>
        <v>0.1</v>
      </c>
      <c r="Q226" s="419" t="s">
        <v>587</v>
      </c>
      <c r="R226" t="s">
        <v>933</v>
      </c>
      <c r="T226" s="8">
        <f t="shared" si="3"/>
        <v>6.0975609756097563E-3</v>
      </c>
    </row>
    <row r="227" spans="1:20" hidden="1" outlineLevel="1" x14ac:dyDescent="0.25">
      <c r="A227" s="136"/>
      <c r="B227" s="136"/>
      <c r="C227" s="200"/>
      <c r="D227" s="137"/>
      <c r="E227" s="137"/>
      <c r="F227" s="137"/>
      <c r="G227" s="158"/>
      <c r="H227" s="258"/>
      <c r="I227" s="159"/>
      <c r="J227" s="254"/>
      <c r="K227" s="475"/>
      <c r="L227" s="445"/>
      <c r="M227" s="514"/>
      <c r="Q227" s="419"/>
      <c r="T227" s="8">
        <f t="shared" si="3"/>
        <v>0</v>
      </c>
    </row>
    <row r="228" spans="1:20" outlineLevel="1" x14ac:dyDescent="0.25">
      <c r="A228" s="155">
        <v>4.4000000000000004</v>
      </c>
      <c r="B228" s="155" t="s">
        <v>934</v>
      </c>
      <c r="C228" s="135"/>
      <c r="D228" s="135"/>
      <c r="E228" s="135"/>
      <c r="F228" s="135"/>
      <c r="G228" s="158">
        <v>23.3</v>
      </c>
      <c r="H228" s="258">
        <v>634</v>
      </c>
      <c r="I228" s="159">
        <v>4880</v>
      </c>
      <c r="J228" s="254">
        <v>0.9</v>
      </c>
      <c r="K228" s="475"/>
      <c r="L228" s="446" t="str">
        <f>B228</f>
        <v>Electricity, gas and other fuels</v>
      </c>
      <c r="M228" s="504">
        <f>SUM(M229:M235)</f>
        <v>1.2</v>
      </c>
      <c r="N228" s="116"/>
      <c r="O228" s="116"/>
      <c r="P228" s="116"/>
      <c r="Q228" s="418" t="s">
        <v>670</v>
      </c>
      <c r="R228" s="116" t="s">
        <v>935</v>
      </c>
      <c r="T228" s="8">
        <f t="shared" si="3"/>
        <v>0.99186991869918695</v>
      </c>
    </row>
    <row r="229" spans="1:20" hidden="1" outlineLevel="1" x14ac:dyDescent="0.25">
      <c r="A229" s="137"/>
      <c r="B229" s="136" t="s">
        <v>936</v>
      </c>
      <c r="C229" s="201" t="s">
        <v>937</v>
      </c>
      <c r="D229" s="137"/>
      <c r="E229" s="137"/>
      <c r="F229" s="137"/>
      <c r="G229" s="158">
        <v>11.5</v>
      </c>
      <c r="H229" s="258">
        <v>312</v>
      </c>
      <c r="I229" s="159">
        <v>4870</v>
      </c>
      <c r="J229" s="257">
        <v>1.1000000000000001</v>
      </c>
      <c r="K229" s="475"/>
      <c r="L229" s="445"/>
      <c r="M229" s="528"/>
      <c r="Q229" s="419"/>
      <c r="T229" s="8">
        <f t="shared" si="3"/>
        <v>0.98983739837398377</v>
      </c>
    </row>
    <row r="230" spans="1:20" hidden="1" outlineLevel="1" x14ac:dyDescent="0.25">
      <c r="A230" s="137"/>
      <c r="B230" s="136" t="s">
        <v>938</v>
      </c>
      <c r="C230" s="201" t="s">
        <v>939</v>
      </c>
      <c r="D230" s="137"/>
      <c r="E230" s="137"/>
      <c r="F230" s="137"/>
      <c r="G230" s="171">
        <v>10.7</v>
      </c>
      <c r="H230" s="349">
        <v>291</v>
      </c>
      <c r="I230" s="172">
        <v>4130</v>
      </c>
      <c r="J230" s="257">
        <v>1.4</v>
      </c>
      <c r="K230" s="475"/>
      <c r="L230" s="445"/>
      <c r="M230" s="504"/>
      <c r="Q230" s="419"/>
      <c r="T230" s="8">
        <f t="shared" si="3"/>
        <v>0.83943089430894313</v>
      </c>
    </row>
    <row r="231" spans="1:20" hidden="1" outlineLevel="1" x14ac:dyDescent="0.25">
      <c r="A231" s="136"/>
      <c r="B231" s="201"/>
      <c r="C231" s="137"/>
      <c r="D231" s="137"/>
      <c r="E231" s="137"/>
      <c r="F231" s="137"/>
      <c r="G231" s="158"/>
      <c r="H231" s="258"/>
      <c r="I231" s="159"/>
      <c r="J231" s="257"/>
      <c r="K231" s="475"/>
      <c r="L231" s="445"/>
      <c r="M231" s="504"/>
      <c r="Q231" s="419"/>
      <c r="T231" s="8">
        <f t="shared" si="3"/>
        <v>0</v>
      </c>
    </row>
    <row r="232" spans="1:20" hidden="1" outlineLevel="1" x14ac:dyDescent="0.25">
      <c r="A232" s="137"/>
      <c r="B232" s="136" t="s">
        <v>940</v>
      </c>
      <c r="C232" s="201" t="s">
        <v>941</v>
      </c>
      <c r="D232" s="137"/>
      <c r="E232" s="137"/>
      <c r="F232" s="137"/>
      <c r="G232" s="396">
        <v>1.2</v>
      </c>
      <c r="H232" s="258">
        <v>32</v>
      </c>
      <c r="I232" s="159">
        <v>320</v>
      </c>
      <c r="J232" s="254">
        <v>8.3000000000000007</v>
      </c>
      <c r="K232" s="475"/>
      <c r="L232" s="445"/>
      <c r="M232" s="504">
        <f>G232</f>
        <v>1.2</v>
      </c>
      <c r="Q232" s="419" t="s">
        <v>587</v>
      </c>
      <c r="R232" t="s">
        <v>942</v>
      </c>
      <c r="T232" s="8">
        <f t="shared" si="3"/>
        <v>6.5040650406504072E-2</v>
      </c>
    </row>
    <row r="233" spans="1:20" hidden="1" outlineLevel="1" x14ac:dyDescent="0.25">
      <c r="A233" s="137"/>
      <c r="B233" s="200"/>
      <c r="C233" s="201" t="s">
        <v>943</v>
      </c>
      <c r="D233" s="137" t="s">
        <v>944</v>
      </c>
      <c r="E233" s="137"/>
      <c r="F233" s="137"/>
      <c r="G233" s="158">
        <v>0.2</v>
      </c>
      <c r="H233" s="258">
        <v>4</v>
      </c>
      <c r="I233" s="159">
        <v>80</v>
      </c>
      <c r="J233" s="254">
        <v>18.899999999999999</v>
      </c>
      <c r="K233" s="475"/>
      <c r="L233" s="445"/>
      <c r="M233" s="504"/>
      <c r="Q233" s="419"/>
      <c r="T233" s="8">
        <f t="shared" si="3"/>
        <v>1.6260162601626018E-2</v>
      </c>
    </row>
    <row r="234" spans="1:20" hidden="1" outlineLevel="1" x14ac:dyDescent="0.25">
      <c r="A234" s="137"/>
      <c r="B234" s="200"/>
      <c r="C234" s="201" t="s">
        <v>945</v>
      </c>
      <c r="D234" s="137" t="s">
        <v>946</v>
      </c>
      <c r="E234" s="137"/>
      <c r="F234" s="137"/>
      <c r="G234" s="158">
        <v>0.9</v>
      </c>
      <c r="H234" s="258">
        <v>24</v>
      </c>
      <c r="I234" s="159">
        <v>220</v>
      </c>
      <c r="J234" s="254">
        <v>8.5</v>
      </c>
      <c r="K234" s="475"/>
      <c r="L234" s="445"/>
      <c r="M234" s="504"/>
      <c r="Q234" s="419"/>
      <c r="T234" s="8">
        <f t="shared" si="3"/>
        <v>4.4715447154471545E-2</v>
      </c>
    </row>
    <row r="235" spans="1:20" hidden="1" outlineLevel="1" x14ac:dyDescent="0.25">
      <c r="A235" s="137"/>
      <c r="B235" s="136"/>
      <c r="C235" s="136" t="s">
        <v>947</v>
      </c>
      <c r="D235" s="136" t="s">
        <v>948</v>
      </c>
      <c r="E235" s="137"/>
      <c r="F235" s="137"/>
      <c r="G235" s="158">
        <v>0.1</v>
      </c>
      <c r="H235" s="258">
        <v>3</v>
      </c>
      <c r="I235" s="159">
        <v>60</v>
      </c>
      <c r="J235" s="254">
        <v>27.2</v>
      </c>
      <c r="K235" s="475"/>
      <c r="L235" s="445"/>
      <c r="M235" s="504"/>
      <c r="Q235" s="419"/>
      <c r="T235" s="8">
        <f t="shared" si="3"/>
        <v>1.2195121951219513E-2</v>
      </c>
    </row>
    <row r="236" spans="1:20" hidden="1" outlineLevel="1" x14ac:dyDescent="0.25">
      <c r="A236" s="136"/>
      <c r="B236" s="136"/>
      <c r="C236" s="211"/>
      <c r="D236" s="137"/>
      <c r="E236" s="137"/>
      <c r="F236" s="205"/>
      <c r="G236" s="197"/>
      <c r="H236" s="353"/>
      <c r="I236" s="198"/>
      <c r="J236" s="199"/>
      <c r="K236" s="475"/>
      <c r="L236" s="445"/>
      <c r="M236" s="503"/>
      <c r="Q236" s="419"/>
      <c r="T236" s="8">
        <f t="shared" si="3"/>
        <v>0</v>
      </c>
    </row>
    <row r="237" spans="1:20" hidden="1" outlineLevel="1" x14ac:dyDescent="0.25">
      <c r="A237" s="136"/>
      <c r="B237" s="136"/>
      <c r="C237" s="211"/>
      <c r="D237" s="137"/>
      <c r="E237" s="137"/>
      <c r="F237" s="205"/>
      <c r="G237" s="197"/>
      <c r="H237" s="353"/>
      <c r="I237" s="198"/>
      <c r="J237" s="199"/>
      <c r="K237" s="475"/>
      <c r="L237" s="445"/>
      <c r="M237" s="503"/>
      <c r="Q237" s="419"/>
      <c r="T237" s="8">
        <f t="shared" si="3"/>
        <v>0</v>
      </c>
    </row>
    <row r="238" spans="1:20" x14ac:dyDescent="0.25">
      <c r="A238" s="184">
        <v>5</v>
      </c>
      <c r="B238" s="185" t="s">
        <v>560</v>
      </c>
      <c r="C238" s="259"/>
      <c r="D238" s="186"/>
      <c r="E238" s="186"/>
      <c r="F238" s="235"/>
      <c r="G238" s="188">
        <v>35.5</v>
      </c>
      <c r="H238" s="351">
        <v>965</v>
      </c>
      <c r="I238" s="189">
        <v>4560</v>
      </c>
      <c r="J238" s="324">
        <v>4.0999999999999996</v>
      </c>
      <c r="K238" s="475">
        <v>5</v>
      </c>
      <c r="L238" s="439" t="str">
        <f>B238</f>
        <v xml:space="preserve">Household goods and services </v>
      </c>
      <c r="M238" s="500">
        <f>M240+M250+M282+M294+M300+M307</f>
        <v>22.9</v>
      </c>
      <c r="N238" s="391">
        <f>G238</f>
        <v>35.5</v>
      </c>
      <c r="O238" s="392">
        <f t="shared" ref="O238:O301" si="4">M238/N238</f>
        <v>0.64507042253521119</v>
      </c>
      <c r="P238" s="416">
        <v>0.45</v>
      </c>
      <c r="Q238" s="417" t="s">
        <v>822</v>
      </c>
      <c r="R238" s="116" t="s">
        <v>949</v>
      </c>
      <c r="T238" s="8">
        <f t="shared" si="3"/>
        <v>0.92682926829268297</v>
      </c>
    </row>
    <row r="239" spans="1:20" hidden="1" outlineLevel="1" x14ac:dyDescent="0.25">
      <c r="A239" s="232"/>
      <c r="B239" s="243"/>
      <c r="C239" s="260"/>
      <c r="D239" s="182"/>
      <c r="E239" s="182"/>
      <c r="F239" s="250"/>
      <c r="G239" s="192"/>
      <c r="H239" s="352"/>
      <c r="I239" s="193"/>
      <c r="J239" s="199"/>
      <c r="K239" s="475"/>
      <c r="L239" s="445"/>
      <c r="M239" s="503"/>
      <c r="O239" s="529" t="e">
        <f t="shared" si="4"/>
        <v>#DIV/0!</v>
      </c>
      <c r="P239" s="405"/>
      <c r="Q239" s="420"/>
      <c r="T239" s="8">
        <f t="shared" si="3"/>
        <v>0</v>
      </c>
    </row>
    <row r="240" spans="1:20" ht="26.25" outlineLevel="1" x14ac:dyDescent="0.25">
      <c r="A240" s="195">
        <v>5.0999999999999996</v>
      </c>
      <c r="B240" s="196" t="s">
        <v>950</v>
      </c>
      <c r="C240" s="261"/>
      <c r="D240" s="155"/>
      <c r="E240" s="155"/>
      <c r="F240" s="43"/>
      <c r="G240" s="393">
        <v>21.2</v>
      </c>
      <c r="H240" s="353">
        <v>576</v>
      </c>
      <c r="I240" s="198">
        <v>2090</v>
      </c>
      <c r="J240" s="199">
        <v>6.6</v>
      </c>
      <c r="K240" s="475"/>
      <c r="L240" s="441" t="str">
        <f>B240</f>
        <v>Furniture and furnishings, carpets and other floor coverings</v>
      </c>
      <c r="M240" s="536">
        <f>SUM(M241:M248)</f>
        <v>13.3</v>
      </c>
      <c r="N240" s="116"/>
      <c r="O240" s="392"/>
      <c r="P240" s="392"/>
      <c r="Q240" s="545" t="s">
        <v>587</v>
      </c>
      <c r="R240" s="116" t="s">
        <v>951</v>
      </c>
      <c r="T240" s="8">
        <f t="shared" si="3"/>
        <v>0.42479674796747968</v>
      </c>
    </row>
    <row r="241" spans="1:20" hidden="1" outlineLevel="1" x14ac:dyDescent="0.25">
      <c r="A241" s="136"/>
      <c r="B241" s="136" t="s">
        <v>952</v>
      </c>
      <c r="C241" s="201" t="s">
        <v>953</v>
      </c>
      <c r="D241" s="206"/>
      <c r="E241" s="136"/>
      <c r="F241" s="205"/>
      <c r="G241" s="393">
        <v>17.399999999999999</v>
      </c>
      <c r="H241" s="353">
        <v>473</v>
      </c>
      <c r="I241" s="198">
        <v>1870</v>
      </c>
      <c r="J241" s="199">
        <v>7.1</v>
      </c>
      <c r="K241" s="475"/>
      <c r="L241" s="445"/>
      <c r="M241" s="487"/>
      <c r="N241" s="399"/>
      <c r="O241" s="530" t="e">
        <f t="shared" si="4"/>
        <v>#DIV/0!</v>
      </c>
      <c r="P241" s="405"/>
      <c r="Q241" s="420"/>
      <c r="T241" s="8">
        <f t="shared" si="3"/>
        <v>0.38008130081300812</v>
      </c>
    </row>
    <row r="242" spans="1:20" hidden="1" outlineLevel="1" x14ac:dyDescent="0.25">
      <c r="A242" s="155"/>
      <c r="B242" s="196"/>
      <c r="C242" s="201" t="s">
        <v>954</v>
      </c>
      <c r="D242" s="136" t="s">
        <v>955</v>
      </c>
      <c r="E242" s="136"/>
      <c r="F242" s="205"/>
      <c r="G242" s="393">
        <v>15.8</v>
      </c>
      <c r="H242" s="353">
        <v>429</v>
      </c>
      <c r="I242" s="198">
        <v>1390</v>
      </c>
      <c r="J242" s="199">
        <v>7.7</v>
      </c>
      <c r="K242" s="475"/>
      <c r="L242" s="445"/>
      <c r="M242" s="487">
        <f>G242*50%</f>
        <v>7.9</v>
      </c>
      <c r="N242" s="399"/>
      <c r="O242" s="392" t="e">
        <f t="shared" si="4"/>
        <v>#DIV/0!</v>
      </c>
      <c r="P242" s="405"/>
      <c r="Q242" s="420"/>
      <c r="T242" s="8">
        <f t="shared" si="3"/>
        <v>0.28252032520325204</v>
      </c>
    </row>
    <row r="243" spans="1:20" hidden="1" outlineLevel="1" x14ac:dyDescent="0.25">
      <c r="A243" s="180"/>
      <c r="B243" s="196"/>
      <c r="C243" s="201" t="s">
        <v>956</v>
      </c>
      <c r="D243" s="136" t="s">
        <v>957</v>
      </c>
      <c r="E243" s="136"/>
      <c r="F243" s="205"/>
      <c r="G243" s="393">
        <v>1.1000000000000001</v>
      </c>
      <c r="H243" s="353">
        <v>31</v>
      </c>
      <c r="I243" s="198">
        <v>720</v>
      </c>
      <c r="J243" s="199">
        <v>8.1999999999999993</v>
      </c>
      <c r="K243" s="466"/>
      <c r="L243" s="440"/>
      <c r="M243" s="487">
        <f>G243</f>
        <v>1.1000000000000001</v>
      </c>
      <c r="N243" s="399"/>
      <c r="O243" s="392" t="e">
        <f t="shared" si="4"/>
        <v>#DIV/0!</v>
      </c>
      <c r="P243" s="405"/>
      <c r="Q243" s="420"/>
      <c r="T243" s="8">
        <f t="shared" si="3"/>
        <v>0.14634146341463414</v>
      </c>
    </row>
    <row r="244" spans="1:20" hidden="1" outlineLevel="1" x14ac:dyDescent="0.25">
      <c r="A244" s="135"/>
      <c r="B244" s="135"/>
      <c r="C244" s="201" t="s">
        <v>958</v>
      </c>
      <c r="D244" s="136" t="s">
        <v>959</v>
      </c>
      <c r="E244" s="136"/>
      <c r="F244" s="205"/>
      <c r="G244" s="393">
        <v>0.5</v>
      </c>
      <c r="H244" s="353">
        <v>13</v>
      </c>
      <c r="I244" s="198">
        <v>40</v>
      </c>
      <c r="J244" s="199">
        <v>38</v>
      </c>
      <c r="K244" s="466"/>
      <c r="L244" s="440"/>
      <c r="M244" s="487">
        <f>G244</f>
        <v>0.5</v>
      </c>
      <c r="N244" s="399"/>
      <c r="O244" s="392" t="e">
        <f t="shared" si="4"/>
        <v>#DIV/0!</v>
      </c>
      <c r="P244" s="405"/>
      <c r="Q244" s="420"/>
      <c r="T244" s="8">
        <f t="shared" si="3"/>
        <v>8.130081300813009E-3</v>
      </c>
    </row>
    <row r="245" spans="1:20" hidden="1" outlineLevel="1" x14ac:dyDescent="0.25">
      <c r="A245" s="155"/>
      <c r="B245" s="196"/>
      <c r="C245" s="204"/>
      <c r="D245" s="135"/>
      <c r="E245" s="135"/>
      <c r="F245" s="84"/>
      <c r="G245" s="393"/>
      <c r="H245" s="353"/>
      <c r="I245" s="198"/>
      <c r="J245" s="207"/>
      <c r="K245" s="466"/>
      <c r="L245" s="440"/>
      <c r="M245" s="487"/>
      <c r="N245" s="399"/>
      <c r="O245" s="392" t="e">
        <f t="shared" si="4"/>
        <v>#DIV/0!</v>
      </c>
      <c r="P245" s="405"/>
      <c r="Q245" s="420"/>
      <c r="T245" s="8">
        <f t="shared" si="3"/>
        <v>0</v>
      </c>
    </row>
    <row r="246" spans="1:20" hidden="1" outlineLevel="1" x14ac:dyDescent="0.25">
      <c r="A246" s="135"/>
      <c r="B246" s="136" t="s">
        <v>960</v>
      </c>
      <c r="C246" s="201" t="s">
        <v>961</v>
      </c>
      <c r="D246" s="206"/>
      <c r="E246" s="136"/>
      <c r="F246" s="205"/>
      <c r="G246" s="393">
        <v>3.8</v>
      </c>
      <c r="H246" s="353">
        <v>103</v>
      </c>
      <c r="I246" s="198">
        <v>600</v>
      </c>
      <c r="J246" s="199">
        <v>11.5</v>
      </c>
      <c r="K246" s="466"/>
      <c r="L246" s="440"/>
      <c r="M246" s="487">
        <f>G246</f>
        <v>3.8</v>
      </c>
      <c r="N246" s="399"/>
      <c r="O246" s="392" t="e">
        <f t="shared" si="4"/>
        <v>#DIV/0!</v>
      </c>
      <c r="P246" s="405"/>
      <c r="Q246" s="420"/>
      <c r="T246" s="8">
        <f t="shared" si="3"/>
        <v>0.12195121951219512</v>
      </c>
    </row>
    <row r="247" spans="1:20" hidden="1" outlineLevel="1" x14ac:dyDescent="0.25">
      <c r="A247" s="137"/>
      <c r="B247" s="200"/>
      <c r="C247" s="201" t="s">
        <v>962</v>
      </c>
      <c r="D247" s="206" t="s">
        <v>963</v>
      </c>
      <c r="E247" s="136"/>
      <c r="F247" s="205"/>
      <c r="G247" s="393">
        <v>3</v>
      </c>
      <c r="H247" s="353">
        <v>83</v>
      </c>
      <c r="I247" s="198">
        <v>570</v>
      </c>
      <c r="J247" s="199">
        <v>8.8000000000000007</v>
      </c>
      <c r="K247" s="466"/>
      <c r="L247" s="440"/>
      <c r="M247" s="487"/>
      <c r="N247" s="399"/>
      <c r="O247" s="392" t="e">
        <f t="shared" si="4"/>
        <v>#DIV/0!</v>
      </c>
      <c r="P247" s="405"/>
      <c r="Q247" s="420"/>
      <c r="T247" s="8">
        <f t="shared" si="3"/>
        <v>0.11585365853658537</v>
      </c>
    </row>
    <row r="248" spans="1:20" hidden="1" outlineLevel="1" x14ac:dyDescent="0.25">
      <c r="A248" s="136"/>
      <c r="B248" s="136"/>
      <c r="C248" s="136" t="s">
        <v>964</v>
      </c>
      <c r="D248" s="206" t="s">
        <v>965</v>
      </c>
      <c r="E248" s="136"/>
      <c r="F248" s="205"/>
      <c r="G248" s="393">
        <v>0.7</v>
      </c>
      <c r="H248" s="353">
        <v>20</v>
      </c>
      <c r="I248" s="198">
        <v>40</v>
      </c>
      <c r="J248" s="199">
        <v>46.1</v>
      </c>
      <c r="K248" s="466"/>
      <c r="L248" s="440"/>
      <c r="M248" s="487"/>
      <c r="N248" s="399"/>
      <c r="O248" s="392" t="e">
        <f t="shared" si="4"/>
        <v>#DIV/0!</v>
      </c>
      <c r="P248" s="405"/>
      <c r="Q248" s="420"/>
      <c r="T248" s="8">
        <f t="shared" si="3"/>
        <v>8.130081300813009E-3</v>
      </c>
    </row>
    <row r="249" spans="1:20" hidden="1" outlineLevel="1" x14ac:dyDescent="0.25">
      <c r="A249" s="136"/>
      <c r="B249" s="136"/>
      <c r="C249" s="136"/>
      <c r="D249" s="136"/>
      <c r="E249" s="136"/>
      <c r="F249" s="205"/>
      <c r="G249" s="393"/>
      <c r="H249" s="353"/>
      <c r="I249" s="198"/>
      <c r="J249" s="199"/>
      <c r="K249" s="466"/>
      <c r="L249" s="440"/>
      <c r="M249" s="487"/>
      <c r="N249" s="399"/>
      <c r="O249" s="515" t="e">
        <f t="shared" si="4"/>
        <v>#DIV/0!</v>
      </c>
      <c r="P249" s="405"/>
      <c r="Q249" s="420"/>
      <c r="T249" s="8">
        <f t="shared" si="3"/>
        <v>0</v>
      </c>
    </row>
    <row r="250" spans="1:20" outlineLevel="1" x14ac:dyDescent="0.25">
      <c r="A250" s="155">
        <v>5.2</v>
      </c>
      <c r="B250" s="155" t="s">
        <v>966</v>
      </c>
      <c r="C250" s="155"/>
      <c r="D250" s="155"/>
      <c r="E250" s="155"/>
      <c r="F250" s="135"/>
      <c r="G250" s="396">
        <v>1.9</v>
      </c>
      <c r="H250" s="258">
        <v>51</v>
      </c>
      <c r="I250" s="258">
        <v>940</v>
      </c>
      <c r="J250" s="254">
        <v>7.2</v>
      </c>
      <c r="K250" s="466"/>
      <c r="L250" s="446" t="str">
        <f>B250</f>
        <v>Household textiles</v>
      </c>
      <c r="M250" s="536">
        <f>G250</f>
        <v>1.9</v>
      </c>
      <c r="N250" s="537"/>
      <c r="O250" s="392"/>
      <c r="P250" s="392"/>
      <c r="Q250" s="545" t="s">
        <v>587</v>
      </c>
      <c r="R250" s="116" t="s">
        <v>967</v>
      </c>
      <c r="T250" s="8">
        <f t="shared" si="3"/>
        <v>0.1910569105691057</v>
      </c>
    </row>
    <row r="251" spans="1:20" hidden="1" outlineLevel="1" x14ac:dyDescent="0.25">
      <c r="A251" s="136"/>
      <c r="B251" s="136" t="s">
        <v>968</v>
      </c>
      <c r="C251" s="136" t="s">
        <v>969</v>
      </c>
      <c r="D251" s="136"/>
      <c r="E251" s="136"/>
      <c r="F251" s="137"/>
      <c r="G251" s="396">
        <v>0.8</v>
      </c>
      <c r="H251" s="258">
        <v>22</v>
      </c>
      <c r="I251" s="159">
        <v>380</v>
      </c>
      <c r="J251" s="254">
        <v>8.9</v>
      </c>
      <c r="K251" s="466"/>
      <c r="L251" s="440"/>
      <c r="M251" s="487"/>
      <c r="N251" s="399"/>
      <c r="O251" s="530" t="e">
        <f t="shared" si="4"/>
        <v>#DIV/0!</v>
      </c>
      <c r="P251" s="405"/>
      <c r="Q251" s="420"/>
      <c r="T251" s="8">
        <f t="shared" si="3"/>
        <v>7.7235772357723581E-2</v>
      </c>
    </row>
    <row r="252" spans="1:20" hidden="1" outlineLevel="1" x14ac:dyDescent="0.25">
      <c r="A252" s="136"/>
      <c r="B252" s="136" t="s">
        <v>970</v>
      </c>
      <c r="C252" s="136" t="s">
        <v>971</v>
      </c>
      <c r="D252" s="136"/>
      <c r="E252" s="136"/>
      <c r="F252" s="137"/>
      <c r="G252" s="396">
        <v>1.1000000000000001</v>
      </c>
      <c r="H252" s="258">
        <v>29</v>
      </c>
      <c r="I252" s="159">
        <v>940</v>
      </c>
      <c r="J252" s="254">
        <v>10.3</v>
      </c>
      <c r="K252" s="466"/>
      <c r="L252" s="440"/>
      <c r="M252" s="487"/>
      <c r="N252" s="399"/>
      <c r="O252" s="392" t="e">
        <f t="shared" si="4"/>
        <v>#DIV/0!</v>
      </c>
      <c r="P252" s="405"/>
      <c r="Q252" s="420"/>
      <c r="T252" s="8">
        <f t="shared" si="3"/>
        <v>0.1910569105691057</v>
      </c>
    </row>
    <row r="253" spans="1:20" hidden="1" outlineLevel="1" x14ac:dyDescent="0.25">
      <c r="A253" s="262"/>
      <c r="B253" s="262"/>
      <c r="C253" s="263"/>
      <c r="D253" s="264"/>
      <c r="E253" s="264"/>
      <c r="F253" s="262"/>
      <c r="G253" s="301"/>
      <c r="H253" s="360"/>
      <c r="I253" s="302"/>
      <c r="J253" s="327"/>
      <c r="K253" s="466"/>
      <c r="L253" s="440"/>
      <c r="M253" s="488"/>
      <c r="N253" s="399"/>
      <c r="O253" s="392" t="e">
        <f t="shared" si="4"/>
        <v>#DIV/0!</v>
      </c>
      <c r="P253" s="405"/>
      <c r="Q253" s="420"/>
      <c r="T253" s="8">
        <f t="shared" si="3"/>
        <v>0</v>
      </c>
    </row>
    <row r="254" spans="1:20" hidden="1" outlineLevel="1" x14ac:dyDescent="0.25">
      <c r="A254" s="205"/>
      <c r="B254" s="205"/>
      <c r="C254" s="260"/>
      <c r="D254" s="182"/>
      <c r="E254" s="182"/>
      <c r="F254" s="205"/>
      <c r="G254" s="217"/>
      <c r="H254" s="361"/>
      <c r="I254" s="218"/>
      <c r="J254" s="219"/>
      <c r="K254" s="466"/>
      <c r="L254" s="440"/>
      <c r="M254" s="488"/>
      <c r="N254" s="399"/>
      <c r="O254" s="392" t="e">
        <f t="shared" si="4"/>
        <v>#DIV/0!</v>
      </c>
      <c r="P254" s="405"/>
      <c r="Q254" s="420"/>
      <c r="T254" s="8">
        <f t="shared" si="3"/>
        <v>0</v>
      </c>
    </row>
    <row r="255" spans="1:20" hidden="1" outlineLevel="1" x14ac:dyDescent="0.25">
      <c r="A255" s="43" t="s">
        <v>775</v>
      </c>
      <c r="B255" s="200"/>
      <c r="C255" s="136"/>
      <c r="D255" s="137"/>
      <c r="E255" s="202"/>
      <c r="F255" s="204"/>
      <c r="G255" s="217"/>
      <c r="H255" s="361"/>
      <c r="I255" s="218"/>
      <c r="J255" s="219"/>
      <c r="K255" s="466"/>
      <c r="L255" s="440"/>
      <c r="M255" s="488"/>
      <c r="N255" s="399"/>
      <c r="O255" s="392" t="e">
        <f t="shared" si="4"/>
        <v>#DIV/0!</v>
      </c>
      <c r="P255" s="405"/>
      <c r="Q255" s="420"/>
      <c r="T255" s="8">
        <f t="shared" si="3"/>
        <v>0</v>
      </c>
    </row>
    <row r="256" spans="1:20" hidden="1" outlineLevel="1" x14ac:dyDescent="0.25">
      <c r="A256" s="43" t="s">
        <v>776</v>
      </c>
      <c r="B256" s="200"/>
      <c r="C256" s="136"/>
      <c r="D256" s="137"/>
      <c r="E256" s="202"/>
      <c r="F256" s="204"/>
      <c r="G256" s="217"/>
      <c r="H256" s="361"/>
      <c r="I256" s="218"/>
      <c r="J256" s="219"/>
      <c r="K256" s="466"/>
      <c r="L256" s="440"/>
      <c r="M256" s="488"/>
      <c r="N256" s="399"/>
      <c r="O256" s="392" t="e">
        <f t="shared" si="4"/>
        <v>#DIV/0!</v>
      </c>
      <c r="P256" s="405"/>
      <c r="Q256" s="420"/>
      <c r="T256" s="8">
        <f t="shared" si="3"/>
        <v>0</v>
      </c>
    </row>
    <row r="257" spans="1:20" hidden="1" outlineLevel="1" x14ac:dyDescent="0.25">
      <c r="A257" s="43" t="s">
        <v>613</v>
      </c>
      <c r="B257" s="200"/>
      <c r="C257" s="136"/>
      <c r="D257" s="137"/>
      <c r="E257" s="202"/>
      <c r="F257" s="204"/>
      <c r="G257" s="217"/>
      <c r="H257" s="361"/>
      <c r="I257" s="218"/>
      <c r="J257" s="219"/>
      <c r="K257" s="466"/>
      <c r="L257" s="440"/>
      <c r="M257" s="488"/>
      <c r="N257" s="399"/>
      <c r="O257" s="392" t="e">
        <f t="shared" si="4"/>
        <v>#DIV/0!</v>
      </c>
      <c r="P257" s="405"/>
      <c r="Q257" s="420"/>
      <c r="T257" s="8">
        <f t="shared" si="3"/>
        <v>0</v>
      </c>
    </row>
    <row r="258" spans="1:20" hidden="1" outlineLevel="1" x14ac:dyDescent="0.25">
      <c r="A258" s="43" t="s">
        <v>642</v>
      </c>
      <c r="B258" s="205"/>
      <c r="C258" s="260"/>
      <c r="D258" s="182"/>
      <c r="E258" s="182"/>
      <c r="F258" s="205"/>
      <c r="G258" s="217"/>
      <c r="H258" s="361"/>
      <c r="I258" s="218"/>
      <c r="J258" s="219"/>
      <c r="K258" s="466"/>
      <c r="L258" s="440"/>
      <c r="N258" s="399"/>
      <c r="O258" s="392" t="e">
        <f t="shared" si="4"/>
        <v>#DIV/0!</v>
      </c>
      <c r="P258" s="405"/>
      <c r="Q258" s="420"/>
      <c r="T258" s="8">
        <f t="shared" si="3"/>
        <v>0</v>
      </c>
    </row>
    <row r="259" spans="1:20" hidden="1" outlineLevel="1" x14ac:dyDescent="0.25">
      <c r="A259" s="43" t="s">
        <v>972</v>
      </c>
      <c r="B259" s="205"/>
      <c r="C259" s="260"/>
      <c r="D259" s="182"/>
      <c r="E259" s="182"/>
      <c r="F259" s="205"/>
      <c r="G259" s="217"/>
      <c r="H259" s="361"/>
      <c r="I259" s="218"/>
      <c r="J259" s="219"/>
      <c r="K259" s="466"/>
      <c r="L259" s="440"/>
      <c r="N259" s="399"/>
      <c r="O259" s="392" t="e">
        <f t="shared" si="4"/>
        <v>#DIV/0!</v>
      </c>
      <c r="P259" s="405"/>
      <c r="Q259" s="420"/>
      <c r="T259" s="8">
        <f t="shared" si="3"/>
        <v>0</v>
      </c>
    </row>
    <row r="260" spans="1:20" hidden="1" outlineLevel="1" x14ac:dyDescent="0.25">
      <c r="A260" s="43"/>
      <c r="B260" s="242"/>
      <c r="C260" s="135"/>
      <c r="D260" s="135"/>
      <c r="E260" s="135"/>
      <c r="F260" s="205"/>
      <c r="G260" s="217"/>
      <c r="H260" s="361"/>
      <c r="I260" s="218"/>
      <c r="J260" s="219"/>
      <c r="K260" s="466"/>
      <c r="L260" s="440"/>
      <c r="N260" s="399"/>
      <c r="O260" s="392" t="e">
        <f t="shared" si="4"/>
        <v>#DIV/0!</v>
      </c>
      <c r="P260" s="405"/>
      <c r="Q260" s="420"/>
      <c r="T260" s="8">
        <f t="shared" si="3"/>
        <v>0</v>
      </c>
    </row>
    <row r="261" spans="1:20" hidden="1" outlineLevel="1" x14ac:dyDescent="0.25">
      <c r="A261" s="43"/>
      <c r="B261" s="242"/>
      <c r="C261" s="135"/>
      <c r="D261" s="135"/>
      <c r="E261" s="135"/>
      <c r="F261" s="205"/>
      <c r="G261" s="217"/>
      <c r="H261" s="361"/>
      <c r="I261" s="218"/>
      <c r="J261" s="219"/>
      <c r="K261" s="466"/>
      <c r="L261" s="440"/>
      <c r="N261" s="399"/>
      <c r="O261" s="392" t="e">
        <f t="shared" si="4"/>
        <v>#DIV/0!</v>
      </c>
      <c r="P261" s="405"/>
      <c r="Q261" s="420"/>
      <c r="T261" s="8">
        <f t="shared" si="3"/>
        <v>0</v>
      </c>
    </row>
    <row r="262" spans="1:20" hidden="1" outlineLevel="1" x14ac:dyDescent="0.25">
      <c r="A262" s="43"/>
      <c r="B262" s="242"/>
      <c r="C262" s="135"/>
      <c r="D262" s="135"/>
      <c r="E262" s="135"/>
      <c r="F262" s="205"/>
      <c r="G262" s="217"/>
      <c r="H262" s="361"/>
      <c r="I262" s="218"/>
      <c r="J262" s="219"/>
      <c r="K262" s="466"/>
      <c r="L262" s="440"/>
      <c r="N262" s="399"/>
      <c r="O262" s="392" t="e">
        <f t="shared" si="4"/>
        <v>#DIV/0!</v>
      </c>
      <c r="P262" s="405"/>
      <c r="Q262" s="420"/>
      <c r="T262" s="8">
        <f t="shared" si="3"/>
        <v>0</v>
      </c>
    </row>
    <row r="263" spans="1:20" hidden="1" outlineLevel="1" x14ac:dyDescent="0.25">
      <c r="A263" s="43"/>
      <c r="B263" s="205"/>
      <c r="C263" s="260"/>
      <c r="D263" s="182"/>
      <c r="E263" s="182"/>
      <c r="F263" s="205"/>
      <c r="G263" s="217"/>
      <c r="H263" s="361"/>
      <c r="I263" s="218"/>
      <c r="J263" s="219"/>
      <c r="K263" s="466"/>
      <c r="L263" s="440"/>
      <c r="N263" s="399"/>
      <c r="O263" s="392" t="e">
        <f t="shared" si="4"/>
        <v>#DIV/0!</v>
      </c>
      <c r="P263" s="405"/>
      <c r="Q263" s="420"/>
      <c r="T263" s="8">
        <f t="shared" si="3"/>
        <v>0</v>
      </c>
    </row>
    <row r="264" spans="1:20" hidden="1" outlineLevel="1" x14ac:dyDescent="0.25">
      <c r="A264" s="43"/>
      <c r="B264" s="205"/>
      <c r="C264" s="260"/>
      <c r="D264" s="182"/>
      <c r="E264" s="182"/>
      <c r="F264" s="205"/>
      <c r="G264" s="217"/>
      <c r="H264" s="361"/>
      <c r="I264" s="218"/>
      <c r="J264" s="219"/>
      <c r="K264" s="466"/>
      <c r="L264" s="440"/>
      <c r="N264" s="399"/>
      <c r="O264" s="392" t="e">
        <f t="shared" si="4"/>
        <v>#DIV/0!</v>
      </c>
      <c r="P264" s="405"/>
      <c r="Q264" s="420"/>
      <c r="T264" s="8">
        <f t="shared" si="3"/>
        <v>0</v>
      </c>
    </row>
    <row r="265" spans="1:20" hidden="1" outlineLevel="1" x14ac:dyDescent="0.25">
      <c r="A265" s="220"/>
      <c r="B265" s="205"/>
      <c r="C265" s="260"/>
      <c r="D265" s="182"/>
      <c r="E265" s="182"/>
      <c r="F265" s="205"/>
      <c r="G265" s="217"/>
      <c r="H265" s="361"/>
      <c r="I265" s="218"/>
      <c r="J265" s="219"/>
      <c r="K265" s="466"/>
      <c r="L265" s="440"/>
      <c r="N265" s="399"/>
      <c r="O265" s="392" t="e">
        <f t="shared" si="4"/>
        <v>#DIV/0!</v>
      </c>
      <c r="P265" s="405"/>
      <c r="Q265" s="420"/>
      <c r="T265" s="8">
        <f t="shared" si="3"/>
        <v>0</v>
      </c>
    </row>
    <row r="266" spans="1:20" hidden="1" outlineLevel="1" x14ac:dyDescent="0.25">
      <c r="A266" s="220"/>
      <c r="B266" s="205"/>
      <c r="C266" s="260"/>
      <c r="D266" s="182"/>
      <c r="E266" s="182"/>
      <c r="F266" s="205"/>
      <c r="G266" s="217"/>
      <c r="H266" s="361"/>
      <c r="I266" s="218"/>
      <c r="J266" s="219"/>
      <c r="K266" s="466"/>
      <c r="L266" s="440"/>
      <c r="N266" s="399"/>
      <c r="O266" s="392" t="e">
        <f t="shared" si="4"/>
        <v>#DIV/0!</v>
      </c>
      <c r="P266" s="405"/>
      <c r="Q266" s="420"/>
      <c r="T266" s="8">
        <f t="shared" si="3"/>
        <v>0</v>
      </c>
    </row>
    <row r="267" spans="1:20" ht="15.75" hidden="1" outlineLevel="1" x14ac:dyDescent="0.25">
      <c r="A267" s="334" t="s">
        <v>648</v>
      </c>
      <c r="B267" s="243"/>
      <c r="C267" s="260"/>
      <c r="D267" s="182"/>
      <c r="E267" s="182"/>
      <c r="F267" s="205"/>
      <c r="G267" s="217"/>
      <c r="H267" s="361"/>
      <c r="I267" s="218"/>
      <c r="J267" s="205"/>
      <c r="K267" s="466"/>
      <c r="L267" s="440"/>
      <c r="N267" s="399"/>
      <c r="O267" s="392" t="e">
        <f t="shared" si="4"/>
        <v>#DIV/0!</v>
      </c>
      <c r="P267" s="405"/>
      <c r="Q267" s="420"/>
      <c r="T267" s="8">
        <f t="shared" si="3"/>
        <v>0</v>
      </c>
    </row>
    <row r="268" spans="1:20" ht="35.25" hidden="1" outlineLevel="1" x14ac:dyDescent="0.25">
      <c r="A268" s="103" t="s">
        <v>777</v>
      </c>
      <c r="B268" s="119"/>
      <c r="C268" s="126"/>
      <c r="D268" s="121"/>
      <c r="E268" s="121"/>
      <c r="F268" s="122"/>
      <c r="G268" s="123"/>
      <c r="H268" s="343"/>
      <c r="I268" s="124"/>
      <c r="J268" s="223"/>
      <c r="K268" s="466"/>
      <c r="L268" s="440"/>
      <c r="N268" s="399"/>
      <c r="O268" s="392" t="e">
        <f t="shared" si="4"/>
        <v>#DIV/0!</v>
      </c>
      <c r="P268" s="405"/>
      <c r="Q268" s="420"/>
      <c r="T268" s="8">
        <f t="shared" si="3"/>
        <v>0</v>
      </c>
    </row>
    <row r="269" spans="1:20" hidden="1" outlineLevel="1" x14ac:dyDescent="0.25">
      <c r="A269" s="339" t="s">
        <v>643</v>
      </c>
      <c r="B269" s="128"/>
      <c r="C269" s="231"/>
      <c r="D269" s="342"/>
      <c r="E269" s="249"/>
      <c r="F269" s="249"/>
      <c r="G269" s="171"/>
      <c r="H269" s="349"/>
      <c r="I269" s="172"/>
      <c r="J269" s="271"/>
      <c r="K269" s="466"/>
      <c r="L269" s="440"/>
      <c r="N269" s="399"/>
      <c r="O269" s="392" t="e">
        <f t="shared" si="4"/>
        <v>#DIV/0!</v>
      </c>
      <c r="P269" s="405"/>
      <c r="Q269" s="420"/>
      <c r="T269" s="8">
        <f t="shared" si="3"/>
        <v>0</v>
      </c>
    </row>
    <row r="270" spans="1:20" ht="15.75" hidden="1" outlineLevel="1" x14ac:dyDescent="0.25">
      <c r="A270" s="335"/>
      <c r="B270" s="129"/>
      <c r="C270" s="130"/>
      <c r="D270" s="131"/>
      <c r="E270" s="131"/>
      <c r="F270" s="131"/>
      <c r="G270" s="132"/>
      <c r="H270" s="348"/>
      <c r="I270" s="133"/>
      <c r="J270" s="134"/>
      <c r="K270" s="466"/>
      <c r="L270" s="440"/>
      <c r="N270" s="399"/>
      <c r="O270" s="392" t="e">
        <f t="shared" si="4"/>
        <v>#DIV/0!</v>
      </c>
      <c r="P270" s="405"/>
      <c r="Q270" s="420"/>
      <c r="T270" s="8">
        <f t="shared" si="3"/>
        <v>0</v>
      </c>
    </row>
    <row r="271" spans="1:20" hidden="1" outlineLevel="1" x14ac:dyDescent="0.25">
      <c r="A271" s="128"/>
      <c r="B271" s="128"/>
      <c r="C271" s="137"/>
      <c r="D271" s="138"/>
      <c r="E271" s="138"/>
      <c r="F271" s="138"/>
      <c r="G271" s="139"/>
      <c r="H271" s="362"/>
      <c r="I271" s="140"/>
      <c r="J271" s="141"/>
      <c r="K271" s="466"/>
      <c r="L271" s="440"/>
      <c r="N271" s="399"/>
      <c r="O271" s="392" t="e">
        <f t="shared" si="4"/>
        <v>#DIV/0!</v>
      </c>
      <c r="P271" s="405"/>
      <c r="Q271" s="420"/>
      <c r="T271" s="8">
        <f t="shared" si="3"/>
        <v>0</v>
      </c>
    </row>
    <row r="272" spans="1:20" hidden="1" outlineLevel="1" x14ac:dyDescent="0.25">
      <c r="A272" s="224"/>
      <c r="B272" s="224"/>
      <c r="C272" s="225"/>
      <c r="D272" s="226"/>
      <c r="E272" s="226"/>
      <c r="F272" s="144"/>
      <c r="G272" s="145" t="s">
        <v>650</v>
      </c>
      <c r="H272" s="345" t="s">
        <v>284</v>
      </c>
      <c r="I272" s="146" t="s">
        <v>651</v>
      </c>
      <c r="J272" s="147" t="s">
        <v>652</v>
      </c>
      <c r="K272" s="466"/>
      <c r="L272" s="440"/>
      <c r="N272" s="399"/>
      <c r="O272" s="392" t="e">
        <f t="shared" si="4"/>
        <v>#DIV/0!</v>
      </c>
      <c r="P272" s="405"/>
      <c r="Q272" s="420"/>
      <c r="T272" s="8" t="e">
        <f t="shared" si="3"/>
        <v>#VALUE!</v>
      </c>
    </row>
    <row r="273" spans="1:20" hidden="1" outlineLevel="1" x14ac:dyDescent="0.25">
      <c r="A273" s="224"/>
      <c r="B273" s="224"/>
      <c r="C273" s="227"/>
      <c r="D273" s="226"/>
      <c r="E273" s="226"/>
      <c r="F273" s="144"/>
      <c r="G273" s="149" t="s">
        <v>653</v>
      </c>
      <c r="H273" s="345" t="s">
        <v>654</v>
      </c>
      <c r="I273" s="146" t="s">
        <v>655</v>
      </c>
      <c r="J273" s="147" t="s">
        <v>656</v>
      </c>
      <c r="K273" s="466"/>
      <c r="L273" s="440"/>
      <c r="N273" s="399"/>
      <c r="O273" s="392" t="e">
        <f t="shared" si="4"/>
        <v>#DIV/0!</v>
      </c>
      <c r="P273" s="405"/>
      <c r="Q273" s="420"/>
      <c r="T273" s="8" t="e">
        <f t="shared" si="3"/>
        <v>#VALUE!</v>
      </c>
    </row>
    <row r="274" spans="1:20" hidden="1" outlineLevel="1" x14ac:dyDescent="0.25">
      <c r="A274" s="224"/>
      <c r="B274" s="224"/>
      <c r="C274" s="227"/>
      <c r="D274" s="226"/>
      <c r="E274" s="226"/>
      <c r="F274" s="144"/>
      <c r="G274" s="145" t="s">
        <v>657</v>
      </c>
      <c r="H274" s="345" t="s">
        <v>653</v>
      </c>
      <c r="I274" s="146" t="s">
        <v>658</v>
      </c>
      <c r="J274" s="151" t="s">
        <v>659</v>
      </c>
      <c r="K274" s="466"/>
      <c r="L274" s="440"/>
      <c r="M274" s="490"/>
      <c r="N274" s="399"/>
      <c r="O274" s="392" t="e">
        <f t="shared" si="4"/>
        <v>#DIV/0!</v>
      </c>
      <c r="P274" s="405"/>
      <c r="Q274" s="420"/>
      <c r="T274" s="8" t="e">
        <f t="shared" ref="T274:T337" si="5">I274/$I$11</f>
        <v>#VALUE!</v>
      </c>
    </row>
    <row r="275" spans="1:20" hidden="1" outlineLevel="1" x14ac:dyDescent="0.25">
      <c r="A275" s="224"/>
      <c r="B275" s="224"/>
      <c r="C275" s="227"/>
      <c r="D275" s="226"/>
      <c r="E275" s="226"/>
      <c r="F275" s="144"/>
      <c r="G275" s="149" t="s">
        <v>660</v>
      </c>
      <c r="H275" s="345" t="s">
        <v>661</v>
      </c>
      <c r="I275" s="146" t="s">
        <v>662</v>
      </c>
      <c r="J275" s="152" t="s">
        <v>663</v>
      </c>
      <c r="K275" s="466"/>
      <c r="L275" s="440"/>
      <c r="M275" s="490"/>
      <c r="N275" s="399"/>
      <c r="O275" s="392" t="e">
        <f t="shared" si="4"/>
        <v>#DIV/0!</v>
      </c>
      <c r="P275" s="405"/>
      <c r="Q275" s="420"/>
      <c r="T275" s="8" t="e">
        <f t="shared" si="5"/>
        <v>#VALUE!</v>
      </c>
    </row>
    <row r="276" spans="1:20" hidden="1" outlineLevel="1" x14ac:dyDescent="0.25">
      <c r="A276" s="129"/>
      <c r="B276" s="129"/>
      <c r="C276" s="130"/>
      <c r="D276" s="131"/>
      <c r="E276" s="131"/>
      <c r="F276" s="131"/>
      <c r="G276" s="132"/>
      <c r="H276" s="348"/>
      <c r="I276" s="133"/>
      <c r="J276" s="131"/>
      <c r="K276" s="466"/>
      <c r="L276" s="440"/>
      <c r="M276" s="488"/>
      <c r="N276" s="399"/>
      <c r="O276" s="392" t="e">
        <f t="shared" si="4"/>
        <v>#DIV/0!</v>
      </c>
      <c r="P276" s="405"/>
      <c r="Q276" s="420"/>
      <c r="T276" s="8">
        <f t="shared" si="5"/>
        <v>0</v>
      </c>
    </row>
    <row r="277" spans="1:20" hidden="1" outlineLevel="1" x14ac:dyDescent="0.25">
      <c r="A277" s="118"/>
      <c r="B277" s="128"/>
      <c r="C277" s="156"/>
      <c r="D277" s="157"/>
      <c r="E277" s="157"/>
      <c r="F277" s="138"/>
      <c r="G277" s="158"/>
      <c r="H277" s="258"/>
      <c r="I277" s="159"/>
      <c r="J277" s="157"/>
      <c r="K277" s="466"/>
      <c r="L277" s="440"/>
      <c r="M277" s="488"/>
      <c r="N277" s="399"/>
      <c r="O277" s="392" t="e">
        <f t="shared" si="4"/>
        <v>#DIV/0!</v>
      </c>
      <c r="P277" s="405"/>
      <c r="Q277" s="420"/>
      <c r="T277" s="8">
        <f t="shared" si="5"/>
        <v>0</v>
      </c>
    </row>
    <row r="278" spans="1:20" hidden="1" outlineLevel="1" x14ac:dyDescent="0.25">
      <c r="A278" s="174" t="s">
        <v>607</v>
      </c>
      <c r="B278" s="175"/>
      <c r="C278" s="176"/>
      <c r="D278" s="164"/>
      <c r="E278" s="164"/>
      <c r="F278" s="177" t="s">
        <v>536</v>
      </c>
      <c r="G278" s="178"/>
      <c r="H278" s="350"/>
      <c r="I278" s="179"/>
      <c r="J278" s="164"/>
      <c r="K278" s="466"/>
      <c r="L278" s="440"/>
      <c r="M278" s="490"/>
      <c r="N278" s="399"/>
      <c r="O278" s="392" t="e">
        <f t="shared" si="4"/>
        <v>#DIV/0!</v>
      </c>
      <c r="P278" s="405"/>
      <c r="Q278" s="420"/>
      <c r="T278" s="8">
        <f t="shared" si="5"/>
        <v>0</v>
      </c>
    </row>
    <row r="279" spans="1:20" hidden="1" outlineLevel="1" x14ac:dyDescent="0.25">
      <c r="A279" s="180"/>
      <c r="B279" s="180"/>
      <c r="C279" s="181"/>
      <c r="D279" s="135"/>
      <c r="E279" s="135"/>
      <c r="F279" s="182"/>
      <c r="G279" s="171"/>
      <c r="H279" s="349"/>
      <c r="I279" s="172"/>
      <c r="J279" s="173"/>
      <c r="K279" s="466"/>
      <c r="L279" s="440"/>
      <c r="M279" s="490"/>
      <c r="N279" s="399"/>
      <c r="O279" s="392" t="e">
        <f t="shared" si="4"/>
        <v>#DIV/0!</v>
      </c>
      <c r="P279" s="405"/>
      <c r="Q279" s="420"/>
      <c r="T279" s="8">
        <f t="shared" si="5"/>
        <v>0</v>
      </c>
    </row>
    <row r="280" spans="1:20" hidden="1" outlineLevel="1" x14ac:dyDescent="0.25">
      <c r="A280" s="184">
        <v>5</v>
      </c>
      <c r="B280" s="185" t="s">
        <v>973</v>
      </c>
      <c r="C280" s="265"/>
      <c r="D280" s="265"/>
      <c r="E280" s="265"/>
      <c r="F280" s="137"/>
      <c r="G280" s="139"/>
      <c r="H280" s="362"/>
      <c r="I280" s="137"/>
      <c r="J280" s="219"/>
      <c r="K280" s="466"/>
      <c r="L280" s="448"/>
      <c r="M280" s="490"/>
      <c r="N280" s="399"/>
      <c r="O280" s="392" t="e">
        <f t="shared" si="4"/>
        <v>#DIV/0!</v>
      </c>
      <c r="P280" s="405"/>
      <c r="Q280" s="420"/>
      <c r="T280" s="8">
        <f t="shared" si="5"/>
        <v>0</v>
      </c>
    </row>
    <row r="281" spans="1:20" hidden="1" outlineLevel="1" x14ac:dyDescent="0.25">
      <c r="A281" s="136"/>
      <c r="B281" s="136"/>
      <c r="C281" s="211"/>
      <c r="D281" s="136"/>
      <c r="E281" s="136"/>
      <c r="F281" s="205"/>
      <c r="G281" s="217"/>
      <c r="H281" s="361"/>
      <c r="I281" s="218"/>
      <c r="J281" s="219"/>
      <c r="K281" s="466"/>
      <c r="L281" s="440"/>
      <c r="M281" s="490"/>
      <c r="N281" s="399"/>
      <c r="O281" s="515" t="e">
        <f t="shared" si="4"/>
        <v>#DIV/0!</v>
      </c>
      <c r="P281" s="405"/>
      <c r="Q281" s="420"/>
      <c r="T281" s="8">
        <f t="shared" si="5"/>
        <v>0</v>
      </c>
    </row>
    <row r="282" spans="1:20" outlineLevel="1" x14ac:dyDescent="0.25">
      <c r="A282" s="155">
        <v>5.3</v>
      </c>
      <c r="B282" s="155" t="s">
        <v>974</v>
      </c>
      <c r="C282" s="155"/>
      <c r="D282" s="155"/>
      <c r="E282" s="155"/>
      <c r="F282" s="135"/>
      <c r="G282" s="396">
        <v>2.4</v>
      </c>
      <c r="H282" s="258">
        <v>66</v>
      </c>
      <c r="I282" s="256">
        <v>400</v>
      </c>
      <c r="J282" s="254">
        <v>8.8000000000000007</v>
      </c>
      <c r="K282" s="466"/>
      <c r="L282" s="446" t="str">
        <f>B282</f>
        <v>Household appliances</v>
      </c>
      <c r="M282" s="538"/>
      <c r="N282" s="537"/>
      <c r="O282" s="392"/>
      <c r="P282" s="392"/>
      <c r="Q282" s="545" t="s">
        <v>975</v>
      </c>
      <c r="R282" s="539" t="s">
        <v>976</v>
      </c>
      <c r="T282" s="8">
        <f t="shared" si="5"/>
        <v>8.1300813008130079E-2</v>
      </c>
    </row>
    <row r="283" spans="1:20" hidden="1" outlineLevel="1" x14ac:dyDescent="0.25">
      <c r="A283" s="136"/>
      <c r="B283" s="136" t="s">
        <v>977</v>
      </c>
      <c r="C283" s="136" t="s">
        <v>978</v>
      </c>
      <c r="D283" s="136"/>
      <c r="E283" s="136"/>
      <c r="F283" s="137"/>
      <c r="G283" s="376">
        <v>0.1</v>
      </c>
      <c r="H283" s="375">
        <v>2</v>
      </c>
      <c r="I283" s="256" t="s">
        <v>610</v>
      </c>
      <c r="J283" s="254">
        <v>47.8</v>
      </c>
      <c r="K283" s="466"/>
      <c r="L283" s="440"/>
      <c r="M283" s="414"/>
      <c r="N283" s="399"/>
      <c r="O283" s="530" t="e">
        <f t="shared" si="4"/>
        <v>#DIV/0!</v>
      </c>
      <c r="P283" s="405"/>
      <c r="Q283" s="420"/>
      <c r="T283" s="8" t="e">
        <f t="shared" si="5"/>
        <v>#VALUE!</v>
      </c>
    </row>
    <row r="284" spans="1:20" hidden="1" outlineLevel="1" x14ac:dyDescent="0.25">
      <c r="A284" s="136"/>
      <c r="B284" s="136" t="s">
        <v>979</v>
      </c>
      <c r="C284" s="136" t="s">
        <v>980</v>
      </c>
      <c r="D284" s="136"/>
      <c r="E284" s="136"/>
      <c r="F284" s="137"/>
      <c r="G284" s="158">
        <v>0.2</v>
      </c>
      <c r="H284" s="258">
        <v>5</v>
      </c>
      <c r="I284" s="256">
        <v>30</v>
      </c>
      <c r="J284" s="254">
        <v>42</v>
      </c>
      <c r="K284" s="466"/>
      <c r="L284" s="440"/>
      <c r="M284" s="414"/>
      <c r="N284" s="399"/>
      <c r="O284" s="392" t="e">
        <f t="shared" si="4"/>
        <v>#DIV/0!</v>
      </c>
      <c r="P284" s="405"/>
      <c r="Q284" s="420"/>
      <c r="T284" s="8">
        <f t="shared" si="5"/>
        <v>6.0975609756097563E-3</v>
      </c>
    </row>
    <row r="285" spans="1:20" hidden="1" outlineLevel="1" x14ac:dyDescent="0.25">
      <c r="A285" s="136"/>
      <c r="B285" s="136" t="s">
        <v>981</v>
      </c>
      <c r="C285" s="136" t="s">
        <v>982</v>
      </c>
      <c r="D285" s="136"/>
      <c r="E285" s="136"/>
      <c r="F285" s="137"/>
      <c r="G285" s="158">
        <v>0.4</v>
      </c>
      <c r="H285" s="258">
        <v>12</v>
      </c>
      <c r="I285" s="256">
        <v>50</v>
      </c>
      <c r="J285" s="254">
        <v>22.8</v>
      </c>
      <c r="K285" s="466"/>
      <c r="L285" s="440"/>
      <c r="M285" s="414"/>
      <c r="N285" s="399"/>
      <c r="O285" s="392" t="e">
        <f t="shared" si="4"/>
        <v>#DIV/0!</v>
      </c>
      <c r="P285" s="405"/>
      <c r="Q285" s="420"/>
      <c r="T285" s="8">
        <f t="shared" si="5"/>
        <v>1.016260162601626E-2</v>
      </c>
    </row>
    <row r="286" spans="1:20" hidden="1" outlineLevel="1" x14ac:dyDescent="0.25">
      <c r="A286" s="136"/>
      <c r="B286" s="136" t="s">
        <v>983</v>
      </c>
      <c r="C286" s="136" t="s">
        <v>984</v>
      </c>
      <c r="D286" s="136"/>
      <c r="E286" s="136"/>
      <c r="F286" s="137"/>
      <c r="G286" s="158">
        <v>0.2</v>
      </c>
      <c r="H286" s="258">
        <v>5</v>
      </c>
      <c r="I286" s="256">
        <v>30</v>
      </c>
      <c r="J286" s="254">
        <v>33.5</v>
      </c>
      <c r="K286" s="466"/>
      <c r="L286" s="440"/>
      <c r="M286" s="414"/>
      <c r="N286" s="399"/>
      <c r="O286" s="392" t="e">
        <f t="shared" si="4"/>
        <v>#DIV/0!</v>
      </c>
      <c r="P286" s="405"/>
      <c r="Q286" s="420"/>
      <c r="T286" s="8">
        <f t="shared" si="5"/>
        <v>6.0975609756097563E-3</v>
      </c>
    </row>
    <row r="287" spans="1:20" hidden="1" outlineLevel="1" x14ac:dyDescent="0.25">
      <c r="A287" s="136"/>
      <c r="B287" s="136" t="s">
        <v>985</v>
      </c>
      <c r="C287" s="136" t="s">
        <v>986</v>
      </c>
      <c r="D287" s="136"/>
      <c r="E287" s="136"/>
      <c r="F287" s="137"/>
      <c r="G287" s="158"/>
      <c r="H287" s="349"/>
      <c r="I287" s="256"/>
      <c r="J287" s="254"/>
      <c r="K287" s="466"/>
      <c r="L287" s="440"/>
      <c r="M287" s="414"/>
      <c r="N287" s="399"/>
      <c r="O287" s="392" t="e">
        <f t="shared" si="4"/>
        <v>#DIV/0!</v>
      </c>
      <c r="P287" s="405"/>
      <c r="Q287" s="420"/>
      <c r="T287" s="8">
        <f t="shared" si="5"/>
        <v>0</v>
      </c>
    </row>
    <row r="288" spans="1:20" hidden="1" outlineLevel="1" x14ac:dyDescent="0.25">
      <c r="A288" s="136"/>
      <c r="B288" s="136"/>
      <c r="C288" s="136" t="s">
        <v>987</v>
      </c>
      <c r="D288" s="136"/>
      <c r="E288" s="136"/>
      <c r="F288" s="137"/>
      <c r="G288" s="158">
        <v>0.9</v>
      </c>
      <c r="H288" s="258">
        <v>23</v>
      </c>
      <c r="I288" s="256">
        <v>140</v>
      </c>
      <c r="J288" s="254">
        <v>12.7</v>
      </c>
      <c r="K288" s="466"/>
      <c r="L288" s="440"/>
      <c r="M288" s="414"/>
      <c r="N288" s="399"/>
      <c r="O288" s="392" t="e">
        <f t="shared" si="4"/>
        <v>#DIV/0!</v>
      </c>
      <c r="P288" s="405"/>
      <c r="Q288" s="420"/>
      <c r="T288" s="8">
        <f t="shared" si="5"/>
        <v>2.8455284552845527E-2</v>
      </c>
    </row>
    <row r="289" spans="1:20" hidden="1" outlineLevel="1" x14ac:dyDescent="0.25">
      <c r="A289" s="136"/>
      <c r="B289" s="136" t="s">
        <v>988</v>
      </c>
      <c r="C289" s="136" t="s">
        <v>989</v>
      </c>
      <c r="D289" s="136"/>
      <c r="E289" s="136"/>
      <c r="F289" s="137"/>
      <c r="G289" s="377">
        <v>0</v>
      </c>
      <c r="H289" s="375">
        <v>0</v>
      </c>
      <c r="I289" s="256" t="s">
        <v>610</v>
      </c>
      <c r="J289" s="254">
        <v>93</v>
      </c>
      <c r="K289" s="466"/>
      <c r="L289" s="440"/>
      <c r="M289" s="414"/>
      <c r="N289" s="399"/>
      <c r="O289" s="392" t="e">
        <f t="shared" si="4"/>
        <v>#DIV/0!</v>
      </c>
      <c r="P289" s="405"/>
      <c r="Q289" s="420"/>
      <c r="T289" s="8" t="e">
        <f t="shared" si="5"/>
        <v>#VALUE!</v>
      </c>
    </row>
    <row r="290" spans="1:20" hidden="1" outlineLevel="1" x14ac:dyDescent="0.25">
      <c r="A290" s="136"/>
      <c r="B290" s="136" t="s">
        <v>990</v>
      </c>
      <c r="C290" s="201" t="s">
        <v>991</v>
      </c>
      <c r="D290" s="136"/>
      <c r="E290" s="136"/>
      <c r="F290" s="137"/>
      <c r="G290" s="158">
        <v>0.5</v>
      </c>
      <c r="H290" s="258">
        <v>14</v>
      </c>
      <c r="I290" s="256">
        <v>160</v>
      </c>
      <c r="J290" s="254">
        <v>14</v>
      </c>
      <c r="K290" s="466"/>
      <c r="L290" s="440"/>
      <c r="M290" s="414"/>
      <c r="N290" s="399"/>
      <c r="O290" s="392" t="e">
        <f t="shared" si="4"/>
        <v>#DIV/0!</v>
      </c>
      <c r="P290" s="405"/>
      <c r="Q290" s="420"/>
      <c r="T290" s="8">
        <f t="shared" si="5"/>
        <v>3.2520325203252036E-2</v>
      </c>
    </row>
    <row r="291" spans="1:20" hidden="1" outlineLevel="1" x14ac:dyDescent="0.25">
      <c r="A291" s="136"/>
      <c r="B291" s="136" t="s">
        <v>992</v>
      </c>
      <c r="C291" s="201" t="s">
        <v>993</v>
      </c>
      <c r="D291" s="136"/>
      <c r="E291" s="136"/>
      <c r="F291" s="137"/>
      <c r="G291" s="158">
        <v>0.2</v>
      </c>
      <c r="H291" s="258">
        <v>5</v>
      </c>
      <c r="I291" s="256">
        <v>30</v>
      </c>
      <c r="J291" s="254">
        <v>23.1</v>
      </c>
      <c r="K291" s="466"/>
      <c r="L291" s="440"/>
      <c r="M291" s="414"/>
      <c r="N291" s="399"/>
      <c r="O291" s="392" t="e">
        <f t="shared" si="4"/>
        <v>#DIV/0!</v>
      </c>
      <c r="P291" s="405"/>
      <c r="Q291" s="420"/>
      <c r="T291" s="8">
        <f t="shared" si="5"/>
        <v>6.0975609756097563E-3</v>
      </c>
    </row>
    <row r="292" spans="1:20" hidden="1" outlineLevel="1" x14ac:dyDescent="0.25">
      <c r="A292" s="136"/>
      <c r="B292" s="136" t="s">
        <v>994</v>
      </c>
      <c r="C292" s="201" t="s">
        <v>995</v>
      </c>
      <c r="D292" s="136"/>
      <c r="E292" s="136"/>
      <c r="F292" s="137"/>
      <c r="G292" s="376">
        <v>0</v>
      </c>
      <c r="H292" s="375">
        <v>0</v>
      </c>
      <c r="I292" s="256" t="s">
        <v>610</v>
      </c>
      <c r="J292" s="254">
        <v>43.6</v>
      </c>
      <c r="K292" s="466"/>
      <c r="L292" s="440"/>
      <c r="M292" s="414"/>
      <c r="N292" s="399"/>
      <c r="O292" s="392" t="e">
        <f t="shared" si="4"/>
        <v>#DIV/0!</v>
      </c>
      <c r="P292" s="405"/>
      <c r="Q292" s="420"/>
      <c r="T292" s="8" t="e">
        <f t="shared" si="5"/>
        <v>#VALUE!</v>
      </c>
    </row>
    <row r="293" spans="1:20" hidden="1" outlineLevel="1" x14ac:dyDescent="0.25">
      <c r="A293" s="136"/>
      <c r="B293" s="136"/>
      <c r="C293" s="136"/>
      <c r="D293" s="136"/>
      <c r="E293" s="136"/>
      <c r="F293" s="137"/>
      <c r="G293" s="158"/>
      <c r="H293" s="258"/>
      <c r="I293" s="159"/>
      <c r="J293" s="254"/>
      <c r="K293" s="466"/>
      <c r="L293" s="440"/>
      <c r="M293" s="414"/>
      <c r="N293" s="399"/>
      <c r="O293" s="515" t="e">
        <f t="shared" si="4"/>
        <v>#DIV/0!</v>
      </c>
      <c r="P293" s="415"/>
      <c r="Q293" s="421"/>
      <c r="T293" s="8">
        <f t="shared" si="5"/>
        <v>0</v>
      </c>
    </row>
    <row r="294" spans="1:20" outlineLevel="1" x14ac:dyDescent="0.25">
      <c r="A294" s="155">
        <v>5.4</v>
      </c>
      <c r="B294" s="155" t="s">
        <v>996</v>
      </c>
      <c r="C294" s="195"/>
      <c r="D294" s="155"/>
      <c r="E294" s="155"/>
      <c r="F294" s="135"/>
      <c r="G294" s="396">
        <v>1.8</v>
      </c>
      <c r="H294" s="258">
        <v>48</v>
      </c>
      <c r="I294" s="159">
        <v>1570</v>
      </c>
      <c r="J294" s="254">
        <v>5.3</v>
      </c>
      <c r="K294" s="466"/>
      <c r="L294" s="446" t="str">
        <f>B294</f>
        <v>Glassware, tableware and household utensils</v>
      </c>
      <c r="M294" s="538">
        <f>G294</f>
        <v>1.8</v>
      </c>
      <c r="N294" s="537"/>
      <c r="O294" s="392"/>
      <c r="P294" s="392"/>
      <c r="Q294" s="545" t="s">
        <v>587</v>
      </c>
      <c r="R294" s="116" t="s">
        <v>997</v>
      </c>
      <c r="T294" s="8">
        <f t="shared" si="5"/>
        <v>0.31910569105691056</v>
      </c>
    </row>
    <row r="295" spans="1:20" hidden="1" outlineLevel="1" x14ac:dyDescent="0.25">
      <c r="A295" s="136"/>
      <c r="B295" s="136" t="s">
        <v>998</v>
      </c>
      <c r="C295" s="201" t="s">
        <v>999</v>
      </c>
      <c r="D295" s="136"/>
      <c r="E295" s="136"/>
      <c r="F295" s="137"/>
      <c r="G295" s="158">
        <v>0.6</v>
      </c>
      <c r="H295" s="258">
        <v>16</v>
      </c>
      <c r="I295" s="159">
        <v>640</v>
      </c>
      <c r="J295" s="254">
        <v>8.9</v>
      </c>
      <c r="K295" s="466"/>
      <c r="L295" s="440"/>
      <c r="M295" s="414"/>
      <c r="N295" s="399"/>
      <c r="O295" s="530" t="e">
        <f t="shared" si="4"/>
        <v>#DIV/0!</v>
      </c>
      <c r="P295" s="405"/>
      <c r="Q295" s="420"/>
      <c r="T295" s="8">
        <f t="shared" si="5"/>
        <v>0.13008130081300814</v>
      </c>
    </row>
    <row r="296" spans="1:20" hidden="1" outlineLevel="1" x14ac:dyDescent="0.25">
      <c r="A296" s="136"/>
      <c r="B296" s="136" t="s">
        <v>1000</v>
      </c>
      <c r="C296" s="136" t="s">
        <v>1001</v>
      </c>
      <c r="D296" s="136"/>
      <c r="E296" s="136"/>
      <c r="F296" s="137"/>
      <c r="G296" s="158">
        <v>0.7</v>
      </c>
      <c r="H296" s="258">
        <v>20</v>
      </c>
      <c r="I296" s="159">
        <v>870</v>
      </c>
      <c r="J296" s="254">
        <v>7.3</v>
      </c>
      <c r="K296" s="466"/>
      <c r="L296" s="440"/>
      <c r="M296" s="414"/>
      <c r="N296" s="399"/>
      <c r="O296" s="392" t="e">
        <f t="shared" si="4"/>
        <v>#DIV/0!</v>
      </c>
      <c r="P296" s="405"/>
      <c r="Q296" s="420"/>
      <c r="T296" s="8">
        <f t="shared" si="5"/>
        <v>0.17682926829268292</v>
      </c>
    </row>
    <row r="297" spans="1:20" hidden="1" outlineLevel="1" x14ac:dyDescent="0.25">
      <c r="A297" s="136"/>
      <c r="B297" s="136" t="s">
        <v>1002</v>
      </c>
      <c r="C297" s="136" t="s">
        <v>1003</v>
      </c>
      <c r="D297" s="136"/>
      <c r="E297" s="136"/>
      <c r="F297" s="137"/>
      <c r="G297" s="376">
        <v>0</v>
      </c>
      <c r="H297" s="375">
        <v>0</v>
      </c>
      <c r="I297" s="256" t="s">
        <v>610</v>
      </c>
      <c r="J297" s="254">
        <v>90.5</v>
      </c>
      <c r="K297" s="466"/>
      <c r="L297" s="440"/>
      <c r="M297" s="414"/>
      <c r="N297" s="399"/>
      <c r="O297" s="392" t="e">
        <f t="shared" si="4"/>
        <v>#DIV/0!</v>
      </c>
      <c r="P297" s="405"/>
      <c r="Q297" s="420"/>
      <c r="T297" s="8" t="e">
        <f t="shared" si="5"/>
        <v>#VALUE!</v>
      </c>
    </row>
    <row r="298" spans="1:20" hidden="1" outlineLevel="1" x14ac:dyDescent="0.25">
      <c r="A298" s="136"/>
      <c r="B298" s="136" t="s">
        <v>1004</v>
      </c>
      <c r="C298" s="136" t="s">
        <v>1005</v>
      </c>
      <c r="D298" s="136"/>
      <c r="E298" s="136"/>
      <c r="F298" s="137"/>
      <c r="G298" s="158">
        <v>0.4</v>
      </c>
      <c r="H298" s="258">
        <v>12</v>
      </c>
      <c r="I298" s="159">
        <v>510</v>
      </c>
      <c r="J298" s="254">
        <v>6.9</v>
      </c>
      <c r="K298" s="466"/>
      <c r="L298" s="440"/>
      <c r="M298" s="414"/>
      <c r="N298" s="399"/>
      <c r="O298" s="392" t="e">
        <f t="shared" si="4"/>
        <v>#DIV/0!</v>
      </c>
      <c r="P298" s="405"/>
      <c r="Q298" s="420"/>
      <c r="T298" s="8">
        <f t="shared" si="5"/>
        <v>0.10365853658536585</v>
      </c>
    </row>
    <row r="299" spans="1:20" hidden="1" outlineLevel="1" x14ac:dyDescent="0.25">
      <c r="A299" s="195"/>
      <c r="B299" s="196"/>
      <c r="C299" s="136"/>
      <c r="D299" s="155"/>
      <c r="E299" s="155"/>
      <c r="F299" s="231"/>
      <c r="G299" s="158"/>
      <c r="H299" s="258"/>
      <c r="I299" s="159"/>
      <c r="J299" s="257"/>
      <c r="K299" s="466"/>
      <c r="L299" s="440"/>
      <c r="M299" s="414"/>
      <c r="N299" s="399"/>
      <c r="O299" s="515" t="e">
        <f t="shared" si="4"/>
        <v>#DIV/0!</v>
      </c>
      <c r="P299" s="405"/>
      <c r="Q299" s="420"/>
      <c r="T299" s="8">
        <f t="shared" si="5"/>
        <v>0</v>
      </c>
    </row>
    <row r="300" spans="1:20" outlineLevel="1" x14ac:dyDescent="0.25">
      <c r="A300" s="195">
        <v>5.5</v>
      </c>
      <c r="B300" s="196" t="s">
        <v>1006</v>
      </c>
      <c r="C300" s="155"/>
      <c r="D300" s="155"/>
      <c r="E300" s="155"/>
      <c r="F300" s="135"/>
      <c r="G300" s="396">
        <v>2.2000000000000002</v>
      </c>
      <c r="H300" s="258">
        <v>59</v>
      </c>
      <c r="I300" s="159">
        <v>1440</v>
      </c>
      <c r="J300" s="254">
        <v>5.7</v>
      </c>
      <c r="K300" s="466"/>
      <c r="L300" s="441" t="str">
        <f>B300</f>
        <v>Tools and equipment for house and garden</v>
      </c>
      <c r="M300" s="538">
        <f>G300</f>
        <v>2.2000000000000002</v>
      </c>
      <c r="N300" s="537"/>
      <c r="O300" s="392"/>
      <c r="P300" s="392"/>
      <c r="Q300" s="545" t="s">
        <v>587</v>
      </c>
      <c r="R300" s="116" t="s">
        <v>997</v>
      </c>
      <c r="T300" s="8">
        <f t="shared" si="5"/>
        <v>0.29268292682926828</v>
      </c>
    </row>
    <row r="301" spans="1:20" hidden="1" outlineLevel="1" x14ac:dyDescent="0.25">
      <c r="A301" s="137"/>
      <c r="B301" s="136" t="s">
        <v>1007</v>
      </c>
      <c r="C301" s="136" t="s">
        <v>1008</v>
      </c>
      <c r="D301" s="137"/>
      <c r="E301" s="137"/>
      <c r="F301" s="137"/>
      <c r="G301" s="158">
        <v>0.3</v>
      </c>
      <c r="H301" s="258">
        <v>8</v>
      </c>
      <c r="I301" s="159">
        <v>70</v>
      </c>
      <c r="J301" s="254">
        <v>17.600000000000001</v>
      </c>
      <c r="K301" s="466"/>
      <c r="L301" s="440"/>
      <c r="M301" s="414"/>
      <c r="N301" s="399"/>
      <c r="O301" s="530" t="e">
        <f t="shared" si="4"/>
        <v>#DIV/0!</v>
      </c>
      <c r="P301" s="405"/>
      <c r="Q301" s="420"/>
      <c r="T301" s="8">
        <f t="shared" si="5"/>
        <v>1.4227642276422764E-2</v>
      </c>
    </row>
    <row r="302" spans="1:20" hidden="1" outlineLevel="1" x14ac:dyDescent="0.25">
      <c r="A302" s="137"/>
      <c r="B302" s="136" t="s">
        <v>1009</v>
      </c>
      <c r="C302" s="136" t="s">
        <v>1010</v>
      </c>
      <c r="D302" s="137"/>
      <c r="E302" s="137"/>
      <c r="F302" s="137"/>
      <c r="G302" s="158">
        <v>0.5</v>
      </c>
      <c r="H302" s="258">
        <v>13</v>
      </c>
      <c r="I302" s="159">
        <v>270</v>
      </c>
      <c r="J302" s="254">
        <v>14</v>
      </c>
      <c r="K302" s="466"/>
      <c r="L302" s="440"/>
      <c r="M302" s="414"/>
      <c r="N302" s="399"/>
      <c r="O302" s="392" t="e">
        <f t="shared" ref="O302:O365" si="6">M302/N302</f>
        <v>#DIV/0!</v>
      </c>
      <c r="P302" s="405"/>
      <c r="Q302" s="420"/>
      <c r="T302" s="8">
        <f t="shared" si="5"/>
        <v>5.4878048780487805E-2</v>
      </c>
    </row>
    <row r="303" spans="1:20" hidden="1" outlineLevel="1" x14ac:dyDescent="0.25">
      <c r="A303" s="137"/>
      <c r="B303" s="136" t="s">
        <v>1011</v>
      </c>
      <c r="C303" s="136" t="s">
        <v>1012</v>
      </c>
      <c r="D303" s="137"/>
      <c r="E303" s="137"/>
      <c r="F303" s="137"/>
      <c r="G303" s="158">
        <v>0.4</v>
      </c>
      <c r="H303" s="258">
        <v>10</v>
      </c>
      <c r="I303" s="159">
        <v>340</v>
      </c>
      <c r="J303" s="254">
        <v>10.5</v>
      </c>
      <c r="K303" s="466"/>
      <c r="L303" s="440"/>
      <c r="M303" s="414"/>
      <c r="N303" s="399"/>
      <c r="O303" s="392" t="e">
        <f t="shared" si="6"/>
        <v>#DIV/0!</v>
      </c>
      <c r="P303" s="405"/>
      <c r="Q303" s="420"/>
      <c r="T303" s="8">
        <f t="shared" si="5"/>
        <v>6.910569105691057E-2</v>
      </c>
    </row>
    <row r="304" spans="1:20" hidden="1" outlineLevel="1" x14ac:dyDescent="0.25">
      <c r="A304" s="210"/>
      <c r="B304" s="136" t="s">
        <v>1013</v>
      </c>
      <c r="C304" s="136" t="s">
        <v>1014</v>
      </c>
      <c r="D304" s="137"/>
      <c r="E304" s="137"/>
      <c r="F304" s="137"/>
      <c r="G304" s="158">
        <v>0.5</v>
      </c>
      <c r="H304" s="258">
        <v>13</v>
      </c>
      <c r="I304" s="159">
        <v>350</v>
      </c>
      <c r="J304" s="254">
        <v>13.9</v>
      </c>
      <c r="K304" s="472"/>
      <c r="L304" s="442"/>
      <c r="M304" s="414"/>
      <c r="N304" s="399"/>
      <c r="O304" s="392" t="e">
        <f t="shared" si="6"/>
        <v>#DIV/0!</v>
      </c>
      <c r="P304" s="405"/>
      <c r="Q304" s="420"/>
      <c r="T304" s="8">
        <f t="shared" si="5"/>
        <v>7.113821138211382E-2</v>
      </c>
    </row>
    <row r="305" spans="1:20" hidden="1" outlineLevel="1" x14ac:dyDescent="0.25">
      <c r="A305" s="137"/>
      <c r="B305" s="136" t="s">
        <v>1015</v>
      </c>
      <c r="C305" s="136" t="s">
        <v>1016</v>
      </c>
      <c r="D305" s="137"/>
      <c r="E305" s="137"/>
      <c r="F305" s="137"/>
      <c r="G305" s="158">
        <v>0.6</v>
      </c>
      <c r="H305" s="258">
        <v>15</v>
      </c>
      <c r="I305" s="159">
        <v>850</v>
      </c>
      <c r="J305" s="254">
        <v>6.4</v>
      </c>
      <c r="K305" s="472"/>
      <c r="L305" s="442"/>
      <c r="M305" s="414"/>
      <c r="N305" s="399"/>
      <c r="O305" s="392" t="e">
        <f t="shared" si="6"/>
        <v>#DIV/0!</v>
      </c>
      <c r="P305" s="405"/>
      <c r="Q305" s="420"/>
      <c r="T305" s="8">
        <f t="shared" si="5"/>
        <v>0.17276422764227642</v>
      </c>
    </row>
    <row r="306" spans="1:20" hidden="1" outlineLevel="1" x14ac:dyDescent="0.25">
      <c r="A306" s="136"/>
      <c r="B306" s="136"/>
      <c r="C306" s="200"/>
      <c r="D306" s="137"/>
      <c r="E306" s="137"/>
      <c r="F306" s="137"/>
      <c r="G306" s="158"/>
      <c r="H306" s="258"/>
      <c r="I306" s="159"/>
      <c r="J306" s="254"/>
      <c r="K306" s="472"/>
      <c r="L306" s="442"/>
      <c r="M306" s="414"/>
      <c r="N306" s="399"/>
      <c r="O306" s="515" t="e">
        <f t="shared" si="6"/>
        <v>#DIV/0!</v>
      </c>
      <c r="P306" s="405"/>
      <c r="Q306" s="420"/>
      <c r="T306" s="8">
        <f t="shared" si="5"/>
        <v>0</v>
      </c>
    </row>
    <row r="307" spans="1:20" ht="26.25" outlineLevel="1" x14ac:dyDescent="0.25">
      <c r="A307" s="195">
        <v>5.6</v>
      </c>
      <c r="B307" s="155" t="s">
        <v>1017</v>
      </c>
      <c r="C307" s="135"/>
      <c r="D307" s="135"/>
      <c r="E307" s="135"/>
      <c r="F307" s="135"/>
      <c r="G307" s="158">
        <v>6.1</v>
      </c>
      <c r="H307" s="258">
        <v>166</v>
      </c>
      <c r="I307" s="159">
        <v>4260</v>
      </c>
      <c r="J307" s="254">
        <v>3.7</v>
      </c>
      <c r="K307" s="472"/>
      <c r="L307" s="452" t="str">
        <f>B307</f>
        <v>Goods and services for routine household maintenance</v>
      </c>
      <c r="M307" s="538">
        <f>SUM(M308:M321)</f>
        <v>3.6999999999999997</v>
      </c>
      <c r="N307" s="537"/>
      <c r="O307" s="392"/>
      <c r="P307" s="392"/>
      <c r="Q307" s="545" t="s">
        <v>670</v>
      </c>
      <c r="R307" s="116" t="s">
        <v>1018</v>
      </c>
      <c r="T307" s="8">
        <f t="shared" si="5"/>
        <v>0.86585365853658536</v>
      </c>
    </row>
    <row r="308" spans="1:20" hidden="1" outlineLevel="1" x14ac:dyDescent="0.25">
      <c r="A308" s="137"/>
      <c r="B308" s="136" t="s">
        <v>1019</v>
      </c>
      <c r="C308" s="136" t="s">
        <v>1020</v>
      </c>
      <c r="D308" s="200"/>
      <c r="E308" s="137"/>
      <c r="F308" s="137"/>
      <c r="G308" s="398">
        <v>2.4</v>
      </c>
      <c r="H308" s="258">
        <v>64</v>
      </c>
      <c r="I308" s="159">
        <v>3370</v>
      </c>
      <c r="J308" s="254">
        <v>2.2999999999999998</v>
      </c>
      <c r="K308" s="473"/>
      <c r="L308" s="443"/>
      <c r="M308" s="414"/>
      <c r="N308" s="399"/>
      <c r="O308" s="530" t="e">
        <f t="shared" si="6"/>
        <v>#DIV/0!</v>
      </c>
      <c r="P308" s="405"/>
      <c r="Q308" s="420"/>
      <c r="T308" s="8">
        <f t="shared" si="5"/>
        <v>0.68495934959349591</v>
      </c>
    </row>
    <row r="309" spans="1:20" hidden="1" outlineLevel="1" x14ac:dyDescent="0.25">
      <c r="A309" s="137"/>
      <c r="B309" s="200"/>
      <c r="C309" s="201" t="s">
        <v>1021</v>
      </c>
      <c r="D309" s="137" t="s">
        <v>1022</v>
      </c>
      <c r="E309" s="137"/>
      <c r="F309" s="137"/>
      <c r="G309" s="398">
        <v>1</v>
      </c>
      <c r="H309" s="258">
        <v>28</v>
      </c>
      <c r="I309" s="159">
        <v>2110</v>
      </c>
      <c r="J309" s="254">
        <v>3.5</v>
      </c>
      <c r="K309" s="473"/>
      <c r="L309" s="443"/>
      <c r="M309" s="414"/>
      <c r="N309" s="399"/>
      <c r="O309" s="392" t="e">
        <f t="shared" si="6"/>
        <v>#DIV/0!</v>
      </c>
      <c r="P309" s="405"/>
      <c r="Q309" s="420"/>
      <c r="T309" s="8">
        <f t="shared" si="5"/>
        <v>0.42886178861788615</v>
      </c>
    </row>
    <row r="310" spans="1:20" hidden="1" outlineLevel="1" x14ac:dyDescent="0.25">
      <c r="A310" s="137"/>
      <c r="B310" s="200"/>
      <c r="C310" s="201" t="s">
        <v>1023</v>
      </c>
      <c r="D310" s="137" t="s">
        <v>1024</v>
      </c>
      <c r="E310" s="137"/>
      <c r="F310" s="137"/>
      <c r="G310" s="398">
        <v>1.3</v>
      </c>
      <c r="H310" s="258">
        <v>36</v>
      </c>
      <c r="I310" s="159">
        <v>2810</v>
      </c>
      <c r="J310" s="254">
        <v>2.5</v>
      </c>
      <c r="K310" s="473"/>
      <c r="L310" s="443"/>
      <c r="M310" s="414"/>
      <c r="N310" s="399"/>
      <c r="O310" s="392" t="e">
        <f t="shared" si="6"/>
        <v>#DIV/0!</v>
      </c>
      <c r="P310" s="405"/>
      <c r="Q310" s="420"/>
      <c r="T310" s="8">
        <f t="shared" si="5"/>
        <v>0.57113821138211385</v>
      </c>
    </row>
    <row r="311" spans="1:20" hidden="1" outlineLevel="1" x14ac:dyDescent="0.25">
      <c r="A311" s="137"/>
      <c r="B311" s="136"/>
      <c r="C311" s="136"/>
      <c r="D311" s="200"/>
      <c r="E311" s="137"/>
      <c r="F311" s="137"/>
      <c r="G311" s="158"/>
      <c r="H311" s="258"/>
      <c r="I311" s="159"/>
      <c r="J311" s="254"/>
      <c r="K311" s="473"/>
      <c r="L311" s="443"/>
      <c r="M311" s="414"/>
      <c r="N311" s="399"/>
      <c r="O311" s="392" t="e">
        <f t="shared" si="6"/>
        <v>#DIV/0!</v>
      </c>
      <c r="P311" s="405"/>
      <c r="Q311" s="420"/>
      <c r="T311" s="8">
        <f t="shared" si="5"/>
        <v>0</v>
      </c>
    </row>
    <row r="312" spans="1:20" hidden="1" outlineLevel="1" x14ac:dyDescent="0.25">
      <c r="A312" s="137"/>
      <c r="B312" s="136" t="s">
        <v>1025</v>
      </c>
      <c r="C312" s="136" t="s">
        <v>1026</v>
      </c>
      <c r="D312" s="137"/>
      <c r="E312" s="137"/>
      <c r="F312" s="137"/>
      <c r="G312" s="158">
        <v>1.4</v>
      </c>
      <c r="H312" s="258">
        <v>38</v>
      </c>
      <c r="I312" s="159">
        <v>3520</v>
      </c>
      <c r="J312" s="254">
        <v>2.6</v>
      </c>
      <c r="K312" s="473"/>
      <c r="L312" s="443"/>
      <c r="M312" s="414">
        <f>G312</f>
        <v>1.4</v>
      </c>
      <c r="N312" s="399"/>
      <c r="O312" s="392" t="e">
        <f t="shared" si="6"/>
        <v>#DIV/0!</v>
      </c>
      <c r="P312" s="405"/>
      <c r="Q312" s="420"/>
      <c r="T312" s="8">
        <f t="shared" si="5"/>
        <v>0.71544715447154472</v>
      </c>
    </row>
    <row r="313" spans="1:20" hidden="1" outlineLevel="1" x14ac:dyDescent="0.25">
      <c r="A313" s="137"/>
      <c r="B313" s="136"/>
      <c r="C313" s="136" t="s">
        <v>1027</v>
      </c>
      <c r="D313" s="137" t="s">
        <v>1028</v>
      </c>
      <c r="E313" s="137"/>
      <c r="F313" s="137"/>
      <c r="G313" s="158">
        <v>0.8</v>
      </c>
      <c r="H313" s="258">
        <v>22</v>
      </c>
      <c r="I313" s="159">
        <v>3190</v>
      </c>
      <c r="J313" s="254">
        <v>2.5</v>
      </c>
      <c r="K313" s="473"/>
      <c r="L313" s="443"/>
      <c r="M313" s="414"/>
      <c r="N313" s="399"/>
      <c r="O313" s="392" t="e">
        <f t="shared" si="6"/>
        <v>#DIV/0!</v>
      </c>
      <c r="P313" s="405"/>
      <c r="Q313" s="420"/>
      <c r="T313" s="8">
        <f t="shared" si="5"/>
        <v>0.64837398373983735</v>
      </c>
    </row>
    <row r="314" spans="1:20" hidden="1" outlineLevel="1" x14ac:dyDescent="0.25">
      <c r="A314" s="137"/>
      <c r="B314" s="136"/>
      <c r="C314" s="136" t="s">
        <v>1029</v>
      </c>
      <c r="D314" s="136" t="s">
        <v>1030</v>
      </c>
      <c r="E314" s="137"/>
      <c r="F314" s="137"/>
      <c r="G314" s="158">
        <v>0.3</v>
      </c>
      <c r="H314" s="258">
        <v>8</v>
      </c>
      <c r="I314" s="159">
        <v>560</v>
      </c>
      <c r="J314" s="254">
        <v>7.4</v>
      </c>
      <c r="K314" s="473"/>
      <c r="L314" s="443"/>
      <c r="M314" s="414"/>
      <c r="N314" s="399"/>
      <c r="O314" s="392" t="e">
        <f t="shared" si="6"/>
        <v>#DIV/0!</v>
      </c>
      <c r="P314" s="405"/>
      <c r="Q314" s="420"/>
      <c r="T314" s="8">
        <f t="shared" si="5"/>
        <v>0.11382113821138211</v>
      </c>
    </row>
    <row r="315" spans="1:20" hidden="1" outlineLevel="1" x14ac:dyDescent="0.25">
      <c r="A315" s="137"/>
      <c r="B315" s="136"/>
      <c r="C315" s="136" t="s">
        <v>1031</v>
      </c>
      <c r="D315" s="136" t="s">
        <v>1032</v>
      </c>
      <c r="E315" s="137"/>
      <c r="F315" s="137"/>
      <c r="G315" s="158">
        <v>0.1</v>
      </c>
      <c r="H315" s="258">
        <v>4</v>
      </c>
      <c r="I315" s="159">
        <v>770</v>
      </c>
      <c r="J315" s="254">
        <v>7.4</v>
      </c>
      <c r="K315" s="473"/>
      <c r="L315" s="443"/>
      <c r="M315" s="414"/>
      <c r="N315" s="399"/>
      <c r="O315" s="392" t="e">
        <f t="shared" si="6"/>
        <v>#DIV/0!</v>
      </c>
      <c r="P315" s="405"/>
      <c r="Q315" s="420"/>
      <c r="T315" s="8">
        <f t="shared" si="5"/>
        <v>0.1565040650406504</v>
      </c>
    </row>
    <row r="316" spans="1:20" hidden="1" outlineLevel="1" x14ac:dyDescent="0.25">
      <c r="A316" s="137"/>
      <c r="B316" s="136"/>
      <c r="C316" s="136" t="s">
        <v>1033</v>
      </c>
      <c r="D316" s="136" t="s">
        <v>1034</v>
      </c>
      <c r="E316" s="137"/>
      <c r="F316" s="137"/>
      <c r="G316" s="158">
        <v>0.2</v>
      </c>
      <c r="H316" s="258">
        <v>4</v>
      </c>
      <c r="I316" s="159">
        <v>340</v>
      </c>
      <c r="J316" s="254">
        <v>9.4</v>
      </c>
      <c r="K316" s="473"/>
      <c r="L316" s="443"/>
      <c r="M316" s="414"/>
      <c r="N316" s="399"/>
      <c r="O316" s="392" t="e">
        <f t="shared" si="6"/>
        <v>#DIV/0!</v>
      </c>
      <c r="P316" s="405"/>
      <c r="Q316" s="420"/>
      <c r="T316" s="8">
        <f t="shared" si="5"/>
        <v>6.910569105691057E-2</v>
      </c>
    </row>
    <row r="317" spans="1:20" hidden="1" outlineLevel="1" x14ac:dyDescent="0.25">
      <c r="A317" s="137"/>
      <c r="B317" s="136"/>
      <c r="C317" s="200"/>
      <c r="D317" s="200"/>
      <c r="E317" s="137"/>
      <c r="F317" s="137"/>
      <c r="G317" s="158"/>
      <c r="H317" s="258"/>
      <c r="I317" s="159"/>
      <c r="J317" s="254"/>
      <c r="K317" s="473"/>
      <c r="L317" s="443"/>
      <c r="M317" s="414"/>
      <c r="N317" s="399"/>
      <c r="O317" s="392" t="e">
        <f t="shared" si="6"/>
        <v>#DIV/0!</v>
      </c>
      <c r="P317" s="405"/>
      <c r="Q317" s="420"/>
      <c r="T317" s="8">
        <f t="shared" si="5"/>
        <v>0</v>
      </c>
    </row>
    <row r="318" spans="1:20" hidden="1" outlineLevel="1" x14ac:dyDescent="0.25">
      <c r="A318" s="137"/>
      <c r="B318" s="136" t="s">
        <v>1035</v>
      </c>
      <c r="C318" s="136" t="s">
        <v>1036</v>
      </c>
      <c r="D318" s="137"/>
      <c r="E318" s="137"/>
      <c r="F318" s="137"/>
      <c r="G318" s="158">
        <v>2.2999999999999998</v>
      </c>
      <c r="H318" s="258">
        <v>63</v>
      </c>
      <c r="I318" s="159">
        <v>740</v>
      </c>
      <c r="J318" s="254">
        <v>8.8000000000000007</v>
      </c>
      <c r="K318" s="473"/>
      <c r="L318" s="443"/>
      <c r="M318" s="414">
        <f>G318</f>
        <v>2.2999999999999998</v>
      </c>
      <c r="N318" s="399"/>
      <c r="O318" s="392" t="e">
        <f t="shared" si="6"/>
        <v>#DIV/0!</v>
      </c>
      <c r="P318" s="405"/>
      <c r="Q318" s="420"/>
      <c r="R318" s="413"/>
      <c r="T318" s="8">
        <f t="shared" si="5"/>
        <v>0.15040650406504066</v>
      </c>
    </row>
    <row r="319" spans="1:20" hidden="1" outlineLevel="1" x14ac:dyDescent="0.25">
      <c r="A319" s="266"/>
      <c r="B319" s="137"/>
      <c r="C319" s="201" t="s">
        <v>1037</v>
      </c>
      <c r="D319" s="137" t="s">
        <v>1038</v>
      </c>
      <c r="E319" s="137"/>
      <c r="F319" s="137"/>
      <c r="G319" s="158">
        <v>1.8</v>
      </c>
      <c r="H319" s="258">
        <v>50</v>
      </c>
      <c r="I319" s="159">
        <v>380</v>
      </c>
      <c r="J319" s="254">
        <v>10.7</v>
      </c>
      <c r="K319" s="473"/>
      <c r="L319" s="443"/>
      <c r="M319" s="414"/>
      <c r="N319" s="399"/>
      <c r="O319" s="392" t="e">
        <f t="shared" si="6"/>
        <v>#DIV/0!</v>
      </c>
      <c r="P319" s="405"/>
      <c r="Q319" s="420"/>
      <c r="T319" s="8">
        <f t="shared" si="5"/>
        <v>7.7235772357723581E-2</v>
      </c>
    </row>
    <row r="320" spans="1:20" hidden="1" outlineLevel="1" x14ac:dyDescent="0.25">
      <c r="A320" s="137"/>
      <c r="B320" s="137"/>
      <c r="C320" s="136" t="s">
        <v>1039</v>
      </c>
      <c r="D320" s="136" t="s">
        <v>1040</v>
      </c>
      <c r="E320" s="137"/>
      <c r="F320" s="137"/>
      <c r="G320" s="158">
        <v>0.5</v>
      </c>
      <c r="H320" s="258">
        <v>13</v>
      </c>
      <c r="I320" s="159">
        <v>460</v>
      </c>
      <c r="J320" s="254">
        <v>7.3</v>
      </c>
      <c r="K320" s="473"/>
      <c r="L320" s="443"/>
      <c r="M320" s="414"/>
      <c r="N320" s="399"/>
      <c r="O320" s="392" t="e">
        <f t="shared" si="6"/>
        <v>#DIV/0!</v>
      </c>
      <c r="P320" s="405"/>
      <c r="Q320" s="420"/>
      <c r="T320" s="8">
        <f t="shared" si="5"/>
        <v>9.3495934959349589E-2</v>
      </c>
    </row>
    <row r="321" spans="1:20" hidden="1" outlineLevel="1" x14ac:dyDescent="0.25">
      <c r="A321" s="137"/>
      <c r="B321" s="137"/>
      <c r="C321" s="136" t="s">
        <v>1041</v>
      </c>
      <c r="D321" s="136" t="s">
        <v>1042</v>
      </c>
      <c r="E321" s="137"/>
      <c r="F321" s="137"/>
      <c r="G321" s="376">
        <v>0</v>
      </c>
      <c r="H321" s="375">
        <v>0</v>
      </c>
      <c r="I321" s="256" t="s">
        <v>610</v>
      </c>
      <c r="J321" s="254">
        <v>74.599999999999994</v>
      </c>
      <c r="K321" s="473"/>
      <c r="L321" s="443"/>
      <c r="M321" s="414"/>
      <c r="N321" s="399"/>
      <c r="O321" s="392" t="e">
        <f t="shared" si="6"/>
        <v>#DIV/0!</v>
      </c>
      <c r="P321" s="405"/>
      <c r="Q321" s="420"/>
      <c r="T321" s="8" t="e">
        <f t="shared" si="5"/>
        <v>#VALUE!</v>
      </c>
    </row>
    <row r="322" spans="1:20" hidden="1" outlineLevel="1" x14ac:dyDescent="0.25">
      <c r="A322" s="137"/>
      <c r="B322" s="200"/>
      <c r="C322" s="200"/>
      <c r="D322" s="137"/>
      <c r="E322" s="137"/>
      <c r="F322" s="137"/>
      <c r="G322" s="158"/>
      <c r="H322" s="258"/>
      <c r="I322" s="159"/>
      <c r="J322" s="254"/>
      <c r="K322" s="473"/>
      <c r="L322" s="443"/>
      <c r="M322" s="414"/>
      <c r="N322" s="399"/>
      <c r="O322" s="392" t="e">
        <f t="shared" si="6"/>
        <v>#DIV/0!</v>
      </c>
      <c r="P322" s="405"/>
      <c r="Q322" s="420"/>
      <c r="T322" s="8">
        <f t="shared" si="5"/>
        <v>0</v>
      </c>
    </row>
    <row r="323" spans="1:20" hidden="1" outlineLevel="1" x14ac:dyDescent="0.25">
      <c r="A323" s="137"/>
      <c r="B323" s="200"/>
      <c r="C323" s="200"/>
      <c r="D323" s="137"/>
      <c r="E323" s="137"/>
      <c r="F323" s="137"/>
      <c r="G323" s="158"/>
      <c r="H323" s="258"/>
      <c r="I323" s="159"/>
      <c r="J323" s="254"/>
      <c r="K323" s="473"/>
      <c r="L323" s="443"/>
      <c r="M323" s="414"/>
      <c r="N323" s="399"/>
      <c r="O323" s="515" t="e">
        <f t="shared" si="6"/>
        <v>#DIV/0!</v>
      </c>
      <c r="P323" s="405"/>
      <c r="Q323" s="420"/>
      <c r="T323" s="8">
        <f t="shared" si="5"/>
        <v>0</v>
      </c>
    </row>
    <row r="324" spans="1:20" x14ac:dyDescent="0.25">
      <c r="A324" s="184">
        <v>6</v>
      </c>
      <c r="B324" s="185" t="s">
        <v>515</v>
      </c>
      <c r="C324" s="186"/>
      <c r="D324" s="186"/>
      <c r="E324" s="186"/>
      <c r="F324" s="267"/>
      <c r="G324" s="268">
        <v>7.2</v>
      </c>
      <c r="H324" s="363">
        <v>196</v>
      </c>
      <c r="I324" s="269">
        <v>2610</v>
      </c>
      <c r="J324" s="330">
        <v>8.5</v>
      </c>
      <c r="K324" s="474">
        <v>6</v>
      </c>
      <c r="L324" s="453" t="str">
        <f>B324</f>
        <v>Health</v>
      </c>
      <c r="M324" s="500">
        <f>M326+M338</f>
        <v>0</v>
      </c>
      <c r="N324" s="391">
        <f>G324</f>
        <v>7.2</v>
      </c>
      <c r="O324" s="392">
        <f t="shared" si="6"/>
        <v>0</v>
      </c>
      <c r="P324" s="392">
        <v>0.7</v>
      </c>
      <c r="Q324" s="417" t="s">
        <v>670</v>
      </c>
      <c r="R324" s="116" t="s">
        <v>1043</v>
      </c>
      <c r="T324" s="8">
        <f t="shared" si="5"/>
        <v>0.53048780487804881</v>
      </c>
    </row>
    <row r="325" spans="1:20" hidden="1" outlineLevel="1" x14ac:dyDescent="0.25">
      <c r="A325" s="270"/>
      <c r="B325" s="201"/>
      <c r="C325" s="200"/>
      <c r="D325" s="137"/>
      <c r="E325" s="137"/>
      <c r="F325" s="137"/>
      <c r="G325" s="158"/>
      <c r="H325" s="258"/>
      <c r="I325" s="159"/>
      <c r="J325" s="254"/>
      <c r="K325" s="474"/>
      <c r="L325" s="444"/>
      <c r="M325" s="414"/>
      <c r="N325" s="399"/>
      <c r="O325" s="529" t="e">
        <f t="shared" si="6"/>
        <v>#DIV/0!</v>
      </c>
      <c r="P325" s="405"/>
      <c r="Q325" s="420"/>
      <c r="T325" s="8">
        <f t="shared" si="5"/>
        <v>0</v>
      </c>
    </row>
    <row r="326" spans="1:20" outlineLevel="1" x14ac:dyDescent="0.25">
      <c r="A326" s="155">
        <v>6.1</v>
      </c>
      <c r="B326" s="196" t="s">
        <v>1044</v>
      </c>
      <c r="C326" s="135"/>
      <c r="D326" s="135"/>
      <c r="E326" s="135"/>
      <c r="F326" s="118"/>
      <c r="G326" s="158">
        <v>3.8</v>
      </c>
      <c r="H326" s="258">
        <v>103</v>
      </c>
      <c r="I326" s="159">
        <v>2470</v>
      </c>
      <c r="J326" s="254">
        <v>10.4</v>
      </c>
      <c r="K326" s="474"/>
      <c r="L326" s="451" t="str">
        <f>B326</f>
        <v>Medical products, appliances and equipment</v>
      </c>
      <c r="M326" s="538"/>
      <c r="N326" s="537"/>
      <c r="O326" s="392"/>
      <c r="P326" s="392"/>
      <c r="Q326" s="545" t="s">
        <v>670</v>
      </c>
      <c r="R326" s="116"/>
      <c r="T326" s="8">
        <f t="shared" si="5"/>
        <v>0.50203252032520329</v>
      </c>
    </row>
    <row r="327" spans="1:20" hidden="1" outlineLevel="1" x14ac:dyDescent="0.25">
      <c r="A327" s="270"/>
      <c r="B327" s="136" t="s">
        <v>1045</v>
      </c>
      <c r="C327" s="136" t="s">
        <v>1046</v>
      </c>
      <c r="D327" s="200"/>
      <c r="E327" s="137"/>
      <c r="F327" s="138"/>
      <c r="G327" s="158">
        <v>2.2000000000000002</v>
      </c>
      <c r="H327" s="258">
        <v>61</v>
      </c>
      <c r="I327" s="159">
        <v>2300</v>
      </c>
      <c r="J327" s="254">
        <v>14.5</v>
      </c>
      <c r="K327" s="474"/>
      <c r="L327" s="444"/>
      <c r="M327" s="414"/>
      <c r="N327" s="399"/>
      <c r="O327" s="530" t="e">
        <f t="shared" si="6"/>
        <v>#DIV/0!</v>
      </c>
      <c r="P327" s="405"/>
      <c r="Q327" s="420"/>
      <c r="T327" s="8">
        <f t="shared" si="5"/>
        <v>0.46747967479674796</v>
      </c>
    </row>
    <row r="328" spans="1:20" hidden="1" outlineLevel="1" x14ac:dyDescent="0.25">
      <c r="A328" s="270"/>
      <c r="B328" s="136"/>
      <c r="C328" s="136" t="s">
        <v>1047</v>
      </c>
      <c r="D328" s="136" t="s">
        <v>1048</v>
      </c>
      <c r="E328" s="137"/>
      <c r="F328" s="138"/>
      <c r="G328" s="158">
        <v>0.2</v>
      </c>
      <c r="H328" s="258">
        <v>6</v>
      </c>
      <c r="I328" s="159">
        <v>170</v>
      </c>
      <c r="J328" s="254">
        <v>8.6</v>
      </c>
      <c r="K328" s="475"/>
      <c r="L328" s="445"/>
      <c r="M328" s="414"/>
      <c r="N328" s="399"/>
      <c r="O328" s="392" t="e">
        <f t="shared" si="6"/>
        <v>#DIV/0!</v>
      </c>
      <c r="P328" s="405"/>
      <c r="Q328" s="420"/>
      <c r="T328" s="8">
        <f t="shared" si="5"/>
        <v>3.4552845528455285E-2</v>
      </c>
    </row>
    <row r="329" spans="1:20" hidden="1" outlineLevel="1" x14ac:dyDescent="0.25">
      <c r="A329" s="195"/>
      <c r="B329" s="200"/>
      <c r="C329" s="201" t="s">
        <v>1049</v>
      </c>
      <c r="D329" s="137" t="s">
        <v>1050</v>
      </c>
      <c r="E329" s="137"/>
      <c r="F329" s="138"/>
      <c r="G329" s="158">
        <v>1.4</v>
      </c>
      <c r="H329" s="258">
        <v>39</v>
      </c>
      <c r="I329" s="159">
        <v>2090</v>
      </c>
      <c r="J329" s="254">
        <v>5</v>
      </c>
      <c r="K329" s="475"/>
      <c r="L329" s="445"/>
      <c r="M329" s="414"/>
      <c r="N329" s="399"/>
      <c r="O329" s="392" t="e">
        <f t="shared" si="6"/>
        <v>#DIV/0!</v>
      </c>
      <c r="P329" s="405"/>
      <c r="Q329" s="420"/>
      <c r="T329" s="8">
        <f t="shared" si="5"/>
        <v>0.42479674796747968</v>
      </c>
    </row>
    <row r="330" spans="1:20" hidden="1" outlineLevel="1" x14ac:dyDescent="0.25">
      <c r="A330" s="195"/>
      <c r="B330" s="136"/>
      <c r="C330" s="201" t="s">
        <v>1051</v>
      </c>
      <c r="D330" s="1776" t="s">
        <v>1052</v>
      </c>
      <c r="E330" s="1776"/>
      <c r="F330" s="1776"/>
      <c r="G330" s="158">
        <v>0.2</v>
      </c>
      <c r="H330" s="258">
        <v>4</v>
      </c>
      <c r="I330" s="159">
        <v>310</v>
      </c>
      <c r="J330" s="254">
        <v>10.5</v>
      </c>
      <c r="K330" s="475"/>
      <c r="L330" s="445"/>
      <c r="M330" s="414"/>
      <c r="N330" s="399"/>
      <c r="O330" s="392" t="e">
        <f t="shared" si="6"/>
        <v>#DIV/0!</v>
      </c>
      <c r="P330" s="405"/>
      <c r="Q330" s="420"/>
      <c r="T330" s="8">
        <f t="shared" si="5"/>
        <v>6.3008130081300809E-2</v>
      </c>
    </row>
    <row r="331" spans="1:20" hidden="1" outlineLevel="1" x14ac:dyDescent="0.25">
      <c r="A331" s="195"/>
      <c r="B331" s="190"/>
      <c r="C331" s="201" t="s">
        <v>1053</v>
      </c>
      <c r="D331" s="136" t="s">
        <v>1054</v>
      </c>
      <c r="E331" s="135"/>
      <c r="F331" s="249"/>
      <c r="G331" s="118"/>
      <c r="H331" s="118"/>
      <c r="I331" s="135"/>
      <c r="J331" s="135"/>
      <c r="K331" s="475"/>
      <c r="L331" s="445"/>
      <c r="M331" s="414"/>
      <c r="N331" s="399"/>
      <c r="O331" s="392" t="e">
        <f t="shared" si="6"/>
        <v>#DIV/0!</v>
      </c>
      <c r="P331" s="405"/>
      <c r="Q331" s="420"/>
      <c r="T331" s="8">
        <f t="shared" si="5"/>
        <v>0</v>
      </c>
    </row>
    <row r="332" spans="1:20" hidden="1" outlineLevel="1" x14ac:dyDescent="0.25">
      <c r="A332" s="195"/>
      <c r="B332" s="190"/>
      <c r="C332" s="201"/>
      <c r="D332" s="136" t="s">
        <v>1055</v>
      </c>
      <c r="E332" s="135"/>
      <c r="F332" s="249"/>
      <c r="G332" s="158">
        <v>0.5</v>
      </c>
      <c r="H332" s="258">
        <v>12</v>
      </c>
      <c r="I332" s="159">
        <v>30</v>
      </c>
      <c r="J332" s="254">
        <v>68.900000000000006</v>
      </c>
      <c r="K332" s="475"/>
      <c r="L332" s="445"/>
      <c r="M332" s="414"/>
      <c r="N332" s="399"/>
      <c r="O332" s="392" t="e">
        <f t="shared" si="6"/>
        <v>#DIV/0!</v>
      </c>
      <c r="P332" s="405"/>
      <c r="Q332" s="420"/>
      <c r="T332" s="8">
        <f t="shared" si="5"/>
        <v>6.0975609756097563E-3</v>
      </c>
    </row>
    <row r="333" spans="1:20" hidden="1" outlineLevel="1" x14ac:dyDescent="0.25">
      <c r="A333" s="195"/>
      <c r="B333" s="190"/>
      <c r="C333" s="201"/>
      <c r="D333" s="136"/>
      <c r="E333" s="135"/>
      <c r="F333" s="249"/>
      <c r="G333" s="158"/>
      <c r="H333" s="258"/>
      <c r="I333" s="159"/>
      <c r="J333" s="254"/>
      <c r="K333" s="475"/>
      <c r="L333" s="445"/>
      <c r="M333" s="414"/>
      <c r="N333" s="399"/>
      <c r="O333" s="392" t="e">
        <f t="shared" si="6"/>
        <v>#DIV/0!</v>
      </c>
      <c r="P333" s="405"/>
      <c r="Q333" s="420"/>
      <c r="T333" s="8">
        <f t="shared" si="5"/>
        <v>0</v>
      </c>
    </row>
    <row r="334" spans="1:20" hidden="1" outlineLevel="1" x14ac:dyDescent="0.25">
      <c r="A334" s="137"/>
      <c r="B334" s="136" t="s">
        <v>1056</v>
      </c>
      <c r="C334" s="201" t="s">
        <v>1057</v>
      </c>
      <c r="D334" s="137"/>
      <c r="E334" s="137"/>
      <c r="F334" s="138"/>
      <c r="G334" s="158">
        <v>1.6</v>
      </c>
      <c r="H334" s="258">
        <v>43</v>
      </c>
      <c r="I334" s="159">
        <v>380</v>
      </c>
      <c r="J334" s="254">
        <v>11.8</v>
      </c>
      <c r="K334" s="475"/>
      <c r="L334" s="445"/>
      <c r="M334" s="414"/>
      <c r="N334" s="399"/>
      <c r="O334" s="392" t="e">
        <f t="shared" si="6"/>
        <v>#DIV/0!</v>
      </c>
      <c r="P334" s="405"/>
      <c r="Q334" s="420"/>
      <c r="T334" s="8">
        <f t="shared" si="5"/>
        <v>7.7235772357723581E-2</v>
      </c>
    </row>
    <row r="335" spans="1:20" hidden="1" outlineLevel="1" x14ac:dyDescent="0.25">
      <c r="A335" s="195"/>
      <c r="B335" s="136"/>
      <c r="C335" s="201" t="s">
        <v>1058</v>
      </c>
      <c r="D335" s="1776" t="s">
        <v>1059</v>
      </c>
      <c r="E335" s="1776"/>
      <c r="F335" s="1776"/>
      <c r="G335" s="158">
        <v>1.5</v>
      </c>
      <c r="H335" s="258">
        <v>42</v>
      </c>
      <c r="I335" s="159">
        <v>340</v>
      </c>
      <c r="J335" s="254">
        <v>12</v>
      </c>
      <c r="K335" s="475"/>
      <c r="L335" s="445"/>
      <c r="M335" s="414"/>
      <c r="N335" s="399"/>
      <c r="O335" s="392" t="e">
        <f t="shared" si="6"/>
        <v>#DIV/0!</v>
      </c>
      <c r="P335" s="405"/>
      <c r="Q335" s="420"/>
      <c r="T335" s="8">
        <f t="shared" si="5"/>
        <v>6.910569105691057E-2</v>
      </c>
    </row>
    <row r="336" spans="1:20" hidden="1" outlineLevel="1" x14ac:dyDescent="0.25">
      <c r="A336" s="182"/>
      <c r="B336" s="136"/>
      <c r="C336" s="201" t="s">
        <v>1060</v>
      </c>
      <c r="D336" s="137" t="s">
        <v>1061</v>
      </c>
      <c r="E336" s="137"/>
      <c r="F336" s="138"/>
      <c r="G336" s="171">
        <v>0</v>
      </c>
      <c r="H336" s="349">
        <v>1</v>
      </c>
      <c r="I336" s="172">
        <v>60</v>
      </c>
      <c r="J336" s="254">
        <v>18.600000000000001</v>
      </c>
      <c r="K336" s="475"/>
      <c r="L336" s="445"/>
      <c r="M336" s="414"/>
      <c r="N336" s="399"/>
      <c r="O336" s="392" t="e">
        <f t="shared" si="6"/>
        <v>#DIV/0!</v>
      </c>
      <c r="P336" s="405"/>
      <c r="Q336" s="420"/>
      <c r="T336" s="8">
        <f t="shared" si="5"/>
        <v>1.2195121951219513E-2</v>
      </c>
    </row>
    <row r="337" spans="1:20" hidden="1" outlineLevel="1" x14ac:dyDescent="0.25">
      <c r="A337" s="137"/>
      <c r="B337" s="137"/>
      <c r="C337" s="137"/>
      <c r="D337" s="137"/>
      <c r="E337" s="137"/>
      <c r="F337" s="137"/>
      <c r="G337" s="171"/>
      <c r="H337" s="349"/>
      <c r="I337" s="135"/>
      <c r="J337" s="257"/>
      <c r="K337" s="475"/>
      <c r="L337" s="445"/>
      <c r="M337" s="414"/>
      <c r="N337" s="399"/>
      <c r="O337" s="515" t="e">
        <f t="shared" si="6"/>
        <v>#DIV/0!</v>
      </c>
      <c r="P337" s="405"/>
      <c r="Q337" s="420"/>
      <c r="T337" s="8">
        <f t="shared" si="5"/>
        <v>0</v>
      </c>
    </row>
    <row r="338" spans="1:20" outlineLevel="1" x14ac:dyDescent="0.25">
      <c r="A338" s="155">
        <v>6.2</v>
      </c>
      <c r="B338" s="155" t="s">
        <v>1062</v>
      </c>
      <c r="C338" s="272"/>
      <c r="D338" s="135"/>
      <c r="E338" s="135"/>
      <c r="F338" s="135"/>
      <c r="G338" s="400">
        <v>3.4</v>
      </c>
      <c r="H338" s="349">
        <v>93</v>
      </c>
      <c r="I338" s="172">
        <v>400</v>
      </c>
      <c r="J338" s="254">
        <v>13.5</v>
      </c>
      <c r="K338" s="475"/>
      <c r="L338" s="446" t="str">
        <f>B338</f>
        <v>Hospital services</v>
      </c>
      <c r="M338" s="538">
        <f>SUBTOTAL(9,M339:M342)</f>
        <v>0</v>
      </c>
      <c r="N338" s="537"/>
      <c r="O338" s="392"/>
      <c r="P338" s="392"/>
      <c r="Q338" s="545" t="s">
        <v>670</v>
      </c>
      <c r="R338" s="116" t="s">
        <v>1063</v>
      </c>
      <c r="T338" s="8">
        <f t="shared" ref="T338:T401" si="7">I338/$I$11</f>
        <v>8.1300813008130079E-2</v>
      </c>
    </row>
    <row r="339" spans="1:20" hidden="1" outlineLevel="1" x14ac:dyDescent="0.25">
      <c r="A339" s="155"/>
      <c r="B339" s="136" t="s">
        <v>1064</v>
      </c>
      <c r="C339" s="136" t="s">
        <v>1065</v>
      </c>
      <c r="D339" s="135"/>
      <c r="E339" s="135"/>
      <c r="F339" s="135"/>
      <c r="G339" s="171">
        <v>3.4</v>
      </c>
      <c r="H339" s="349">
        <v>92</v>
      </c>
      <c r="I339" s="172">
        <v>400</v>
      </c>
      <c r="J339" s="254">
        <v>13.7</v>
      </c>
      <c r="K339" s="475"/>
      <c r="L339" s="445"/>
      <c r="M339" s="414"/>
      <c r="N339" s="399"/>
      <c r="O339" s="530" t="e">
        <f t="shared" si="6"/>
        <v>#DIV/0!</v>
      </c>
      <c r="P339" s="405"/>
      <c r="Q339" s="420"/>
      <c r="T339" s="8">
        <f t="shared" si="7"/>
        <v>8.1300813008130079E-2</v>
      </c>
    </row>
    <row r="340" spans="1:20" hidden="1" outlineLevel="1" x14ac:dyDescent="0.25">
      <c r="A340" s="137"/>
      <c r="B340" s="205"/>
      <c r="C340" s="136" t="s">
        <v>1066</v>
      </c>
      <c r="D340" s="201" t="s">
        <v>1067</v>
      </c>
      <c r="E340" s="137"/>
      <c r="F340" s="138"/>
      <c r="G340" s="158">
        <v>0.9</v>
      </c>
      <c r="H340" s="258">
        <v>26</v>
      </c>
      <c r="I340" s="159">
        <v>190</v>
      </c>
      <c r="J340" s="254">
        <v>13</v>
      </c>
      <c r="K340" s="475"/>
      <c r="L340" s="445"/>
      <c r="M340" s="414"/>
      <c r="N340" s="399"/>
      <c r="O340" s="392" t="e">
        <f t="shared" si="6"/>
        <v>#DIV/0!</v>
      </c>
      <c r="P340" s="405"/>
      <c r="Q340" s="420"/>
      <c r="T340" s="8">
        <f t="shared" si="7"/>
        <v>3.8617886178861791E-2</v>
      </c>
    </row>
    <row r="341" spans="1:20" hidden="1" outlineLevel="1" x14ac:dyDescent="0.25">
      <c r="A341" s="137"/>
      <c r="B341" s="205"/>
      <c r="C341" s="136" t="s">
        <v>1068</v>
      </c>
      <c r="D341" s="201" t="s">
        <v>1069</v>
      </c>
      <c r="E341" s="137"/>
      <c r="F341" s="138"/>
      <c r="G341" s="396">
        <v>2.4</v>
      </c>
      <c r="H341" s="258">
        <v>66</v>
      </c>
      <c r="I341" s="258">
        <v>230</v>
      </c>
      <c r="J341" s="254">
        <v>18.3</v>
      </c>
      <c r="K341" s="475"/>
      <c r="L341" s="445"/>
      <c r="M341" s="414">
        <f>G341</f>
        <v>2.4</v>
      </c>
      <c r="N341" s="399"/>
      <c r="O341" s="392" t="e">
        <f t="shared" si="6"/>
        <v>#DIV/0!</v>
      </c>
      <c r="P341" s="405"/>
      <c r="Q341" s="420"/>
      <c r="T341" s="8">
        <f t="shared" si="7"/>
        <v>4.6747967479674794E-2</v>
      </c>
    </row>
    <row r="342" spans="1:20" hidden="1" outlineLevel="1" x14ac:dyDescent="0.25">
      <c r="A342" s="137"/>
      <c r="B342" s="205"/>
      <c r="C342" s="136" t="s">
        <v>1070</v>
      </c>
      <c r="D342" s="201" t="s">
        <v>1071</v>
      </c>
      <c r="E342" s="137"/>
      <c r="F342" s="138"/>
      <c r="G342" s="377">
        <v>0</v>
      </c>
      <c r="H342" s="375">
        <v>0</v>
      </c>
      <c r="I342" s="256" t="s">
        <v>610</v>
      </c>
      <c r="J342" s="254">
        <v>91.2</v>
      </c>
      <c r="K342" s="475"/>
      <c r="L342" s="445"/>
      <c r="M342" s="414"/>
      <c r="N342" s="399"/>
      <c r="O342" s="392" t="e">
        <f t="shared" si="6"/>
        <v>#DIV/0!</v>
      </c>
      <c r="P342" s="405"/>
      <c r="Q342" s="420"/>
      <c r="T342" s="8" t="e">
        <f t="shared" si="7"/>
        <v>#VALUE!</v>
      </c>
    </row>
    <row r="343" spans="1:20" hidden="1" outlineLevel="1" x14ac:dyDescent="0.25">
      <c r="A343" s="137"/>
      <c r="B343" s="137"/>
      <c r="C343" s="137"/>
      <c r="D343" s="137"/>
      <c r="E343" s="137"/>
      <c r="F343" s="137"/>
      <c r="G343" s="171"/>
      <c r="H343" s="349"/>
      <c r="I343" s="135"/>
      <c r="J343" s="254"/>
      <c r="K343" s="475"/>
      <c r="L343" s="445"/>
      <c r="M343" s="414"/>
      <c r="N343" s="399"/>
      <c r="O343" s="392" t="e">
        <f t="shared" si="6"/>
        <v>#DIV/0!</v>
      </c>
      <c r="P343" s="405"/>
      <c r="Q343" s="420"/>
      <c r="T343" s="8">
        <f t="shared" si="7"/>
        <v>0</v>
      </c>
    </row>
    <row r="344" spans="1:20" hidden="1" outlineLevel="1" x14ac:dyDescent="0.25">
      <c r="A344" s="205"/>
      <c r="B344" s="136" t="s">
        <v>1072</v>
      </c>
      <c r="C344" s="201" t="s">
        <v>1073</v>
      </c>
      <c r="D344" s="135"/>
      <c r="E344" s="135"/>
      <c r="F344" s="249"/>
      <c r="G344" s="376">
        <v>0</v>
      </c>
      <c r="H344" s="375">
        <v>1</v>
      </c>
      <c r="I344" s="256" t="s">
        <v>610</v>
      </c>
      <c r="J344" s="254">
        <v>80.3</v>
      </c>
      <c r="K344" s="475"/>
      <c r="L344" s="445"/>
      <c r="M344" s="414"/>
      <c r="N344" s="399"/>
      <c r="O344" s="392" t="e">
        <f t="shared" si="6"/>
        <v>#DIV/0!</v>
      </c>
      <c r="P344" s="405"/>
      <c r="Q344" s="420"/>
      <c r="T344" s="8" t="e">
        <f t="shared" si="7"/>
        <v>#VALUE!</v>
      </c>
    </row>
    <row r="345" spans="1:20" hidden="1" outlineLevel="1" x14ac:dyDescent="0.25">
      <c r="A345" s="214"/>
      <c r="B345" s="213"/>
      <c r="C345" s="273"/>
      <c r="D345" s="214"/>
      <c r="E345" s="214"/>
      <c r="F345" s="274"/>
      <c r="G345" s="275"/>
      <c r="H345" s="364"/>
      <c r="I345" s="276"/>
      <c r="J345" s="328"/>
      <c r="K345" s="475"/>
      <c r="L345" s="445"/>
      <c r="M345" s="488"/>
      <c r="N345" s="399"/>
      <c r="O345" s="392" t="e">
        <f t="shared" si="6"/>
        <v>#DIV/0!</v>
      </c>
      <c r="P345" s="405"/>
      <c r="Q345" s="420"/>
      <c r="T345" s="8">
        <f t="shared" si="7"/>
        <v>0</v>
      </c>
    </row>
    <row r="346" spans="1:20" hidden="1" outlineLevel="1" x14ac:dyDescent="0.25">
      <c r="A346" s="135"/>
      <c r="B346" s="135"/>
      <c r="C346" s="135"/>
      <c r="D346" s="135"/>
      <c r="E346" s="135"/>
      <c r="F346" s="135"/>
      <c r="G346" s="171"/>
      <c r="H346" s="349"/>
      <c r="I346" s="135"/>
      <c r="J346" s="135"/>
      <c r="K346" s="475"/>
      <c r="L346" s="445"/>
      <c r="M346" s="490"/>
      <c r="N346" s="399"/>
      <c r="O346" s="392" t="e">
        <f t="shared" si="6"/>
        <v>#DIV/0!</v>
      </c>
      <c r="P346" s="405"/>
      <c r="Q346" s="420"/>
      <c r="T346" s="8">
        <f t="shared" si="7"/>
        <v>0</v>
      </c>
    </row>
    <row r="347" spans="1:20" hidden="1" outlineLevel="1" x14ac:dyDescent="0.25">
      <c r="A347" s="43" t="s">
        <v>775</v>
      </c>
      <c r="B347" s="200"/>
      <c r="C347" s="136"/>
      <c r="D347" s="137"/>
      <c r="E347" s="202"/>
      <c r="F347" s="204"/>
      <c r="G347" s="217"/>
      <c r="H347" s="361"/>
      <c r="I347" s="135"/>
      <c r="J347" s="135"/>
      <c r="K347" s="475"/>
      <c r="L347" s="445"/>
      <c r="M347" s="490"/>
      <c r="N347" s="399"/>
      <c r="O347" s="392" t="e">
        <f t="shared" si="6"/>
        <v>#DIV/0!</v>
      </c>
      <c r="P347" s="405"/>
      <c r="Q347" s="420"/>
      <c r="T347" s="8">
        <f t="shared" si="7"/>
        <v>0</v>
      </c>
    </row>
    <row r="348" spans="1:20" hidden="1" outlineLevel="1" x14ac:dyDescent="0.25">
      <c r="A348" s="43" t="s">
        <v>776</v>
      </c>
      <c r="B348" s="200"/>
      <c r="C348" s="136"/>
      <c r="D348" s="137"/>
      <c r="E348" s="202"/>
      <c r="F348" s="204"/>
      <c r="G348" s="217"/>
      <c r="H348" s="361"/>
      <c r="I348" s="135"/>
      <c r="J348" s="135"/>
      <c r="K348" s="475"/>
      <c r="L348" s="445"/>
      <c r="M348" s="490"/>
      <c r="N348" s="399"/>
      <c r="O348" s="392" t="e">
        <f t="shared" si="6"/>
        <v>#DIV/0!</v>
      </c>
      <c r="P348" s="405"/>
      <c r="Q348" s="420"/>
      <c r="T348" s="8">
        <f t="shared" si="7"/>
        <v>0</v>
      </c>
    </row>
    <row r="349" spans="1:20" hidden="1" outlineLevel="1" x14ac:dyDescent="0.25">
      <c r="A349" s="43" t="s">
        <v>613</v>
      </c>
      <c r="B349" s="200"/>
      <c r="C349" s="136"/>
      <c r="D349" s="137"/>
      <c r="E349" s="202"/>
      <c r="F349" s="204"/>
      <c r="G349" s="217"/>
      <c r="H349" s="361"/>
      <c r="I349" s="135"/>
      <c r="J349" s="135"/>
      <c r="K349" s="475"/>
      <c r="L349" s="445"/>
      <c r="M349" s="490"/>
      <c r="N349" s="399"/>
      <c r="O349" s="392" t="e">
        <f t="shared" si="6"/>
        <v>#DIV/0!</v>
      </c>
      <c r="P349" s="405"/>
      <c r="Q349" s="420"/>
      <c r="T349" s="8">
        <f t="shared" si="7"/>
        <v>0</v>
      </c>
    </row>
    <row r="350" spans="1:20" hidden="1" outlineLevel="1" x14ac:dyDescent="0.25">
      <c r="A350" s="135"/>
      <c r="B350" s="135"/>
      <c r="C350" s="135"/>
      <c r="D350" s="135"/>
      <c r="E350" s="135"/>
      <c r="F350" s="135"/>
      <c r="G350" s="171"/>
      <c r="H350" s="349"/>
      <c r="I350" s="135"/>
      <c r="J350" s="135"/>
      <c r="K350" s="475"/>
      <c r="L350" s="445"/>
      <c r="M350" s="490"/>
      <c r="N350" s="399"/>
      <c r="O350" s="392" t="e">
        <f t="shared" si="6"/>
        <v>#DIV/0!</v>
      </c>
      <c r="P350" s="405"/>
      <c r="Q350" s="420"/>
      <c r="T350" s="8">
        <f t="shared" si="7"/>
        <v>0</v>
      </c>
    </row>
    <row r="351" spans="1:20" hidden="1" outlineLevel="1" x14ac:dyDescent="0.25">
      <c r="A351" s="220"/>
      <c r="B351" s="135"/>
      <c r="C351" s="135"/>
      <c r="D351" s="135"/>
      <c r="E351" s="135"/>
      <c r="F351" s="135"/>
      <c r="G351" s="171"/>
      <c r="H351" s="349"/>
      <c r="I351" s="135"/>
      <c r="J351" s="135"/>
      <c r="K351" s="475"/>
      <c r="L351" s="445"/>
      <c r="M351" s="490"/>
      <c r="N351" s="399"/>
      <c r="O351" s="392" t="e">
        <f t="shared" si="6"/>
        <v>#DIV/0!</v>
      </c>
      <c r="P351" s="405"/>
      <c r="Q351" s="420"/>
      <c r="T351" s="8">
        <f t="shared" si="7"/>
        <v>0</v>
      </c>
    </row>
    <row r="352" spans="1:20" hidden="1" outlineLevel="1" x14ac:dyDescent="0.25">
      <c r="A352" s="137"/>
      <c r="B352" s="137"/>
      <c r="C352" s="137"/>
      <c r="D352" s="137"/>
      <c r="E352" s="137"/>
      <c r="F352" s="137"/>
      <c r="G352" s="139"/>
      <c r="H352" s="362"/>
      <c r="I352" s="137"/>
      <c r="J352" s="137"/>
      <c r="K352" s="475"/>
      <c r="L352" s="445"/>
      <c r="M352" s="490"/>
      <c r="N352" s="399"/>
      <c r="O352" s="392" t="e">
        <f t="shared" si="6"/>
        <v>#DIV/0!</v>
      </c>
      <c r="P352" s="405"/>
      <c r="Q352" s="420"/>
      <c r="T352" s="8">
        <f t="shared" si="7"/>
        <v>0</v>
      </c>
    </row>
    <row r="353" spans="1:20" hidden="1" outlineLevel="1" x14ac:dyDescent="0.25">
      <c r="A353" s="220"/>
      <c r="B353" s="137"/>
      <c r="C353" s="137"/>
      <c r="D353" s="137"/>
      <c r="E353" s="137"/>
      <c r="F353" s="137"/>
      <c r="G353" s="139"/>
      <c r="H353" s="362"/>
      <c r="I353" s="137"/>
      <c r="J353" s="137"/>
      <c r="K353" s="475"/>
      <c r="L353" s="445"/>
      <c r="M353" s="490"/>
      <c r="N353" s="399"/>
      <c r="O353" s="392" t="e">
        <f t="shared" si="6"/>
        <v>#DIV/0!</v>
      </c>
      <c r="P353" s="405"/>
      <c r="Q353" s="420"/>
      <c r="T353" s="8">
        <f t="shared" si="7"/>
        <v>0</v>
      </c>
    </row>
    <row r="354" spans="1:20" ht="15.75" hidden="1" outlineLevel="1" x14ac:dyDescent="0.25">
      <c r="A354" s="334" t="s">
        <v>648</v>
      </c>
      <c r="B354" s="137"/>
      <c r="C354" s="137"/>
      <c r="D354" s="137"/>
      <c r="E354" s="137"/>
      <c r="F354" s="137"/>
      <c r="G354" s="139"/>
      <c r="H354" s="362"/>
      <c r="I354" s="137"/>
      <c r="J354" s="137"/>
      <c r="K354" s="475"/>
      <c r="L354" s="445"/>
      <c r="M354" s="490"/>
      <c r="N354" s="399"/>
      <c r="O354" s="392" t="e">
        <f t="shared" si="6"/>
        <v>#DIV/0!</v>
      </c>
      <c r="P354" s="405"/>
      <c r="Q354" s="420"/>
      <c r="T354" s="8">
        <f t="shared" si="7"/>
        <v>0</v>
      </c>
    </row>
    <row r="355" spans="1:20" ht="35.25" hidden="1" outlineLevel="1" x14ac:dyDescent="0.25">
      <c r="A355" s="103" t="s">
        <v>777</v>
      </c>
      <c r="B355" s="119"/>
      <c r="C355" s="126"/>
      <c r="D355" s="121"/>
      <c r="E355" s="121"/>
      <c r="F355" s="122"/>
      <c r="G355" s="123"/>
      <c r="H355" s="343"/>
      <c r="I355" s="124"/>
      <c r="J355" s="223"/>
      <c r="K355" s="475"/>
      <c r="L355" s="445"/>
      <c r="M355" s="491"/>
      <c r="N355" s="399"/>
      <c r="O355" s="392" t="e">
        <f t="shared" si="6"/>
        <v>#DIV/0!</v>
      </c>
      <c r="P355" s="405"/>
      <c r="Q355" s="420"/>
      <c r="T355" s="8">
        <f t="shared" si="7"/>
        <v>0</v>
      </c>
    </row>
    <row r="356" spans="1:20" ht="18" hidden="1" outlineLevel="1" x14ac:dyDescent="0.25">
      <c r="A356" s="339" t="s">
        <v>643</v>
      </c>
      <c r="B356" s="340"/>
      <c r="C356" s="337"/>
      <c r="D356" s="338"/>
      <c r="E356" s="121"/>
      <c r="F356" s="122"/>
      <c r="G356" s="123"/>
      <c r="H356" s="343"/>
      <c r="I356" s="124"/>
      <c r="J356" s="223"/>
      <c r="K356" s="466"/>
      <c r="L356" s="440"/>
      <c r="M356" s="491"/>
      <c r="N356" s="399"/>
      <c r="O356" s="392" t="e">
        <f t="shared" si="6"/>
        <v>#DIV/0!</v>
      </c>
      <c r="P356" s="405"/>
      <c r="Q356" s="420"/>
      <c r="T356" s="8">
        <f t="shared" si="7"/>
        <v>0</v>
      </c>
    </row>
    <row r="357" spans="1:20" hidden="1" outlineLevel="1" x14ac:dyDescent="0.25">
      <c r="A357" s="129"/>
      <c r="B357" s="129"/>
      <c r="C357" s="130"/>
      <c r="D357" s="131"/>
      <c r="E357" s="131"/>
      <c r="F357" s="131"/>
      <c r="G357" s="132"/>
      <c r="H357" s="348"/>
      <c r="I357" s="133"/>
      <c r="J357" s="134"/>
      <c r="K357" s="466"/>
      <c r="L357" s="440"/>
      <c r="M357" s="488"/>
      <c r="N357" s="399"/>
      <c r="O357" s="392" t="e">
        <f t="shared" si="6"/>
        <v>#DIV/0!</v>
      </c>
      <c r="P357" s="405"/>
      <c r="Q357" s="420"/>
      <c r="T357" s="8">
        <f t="shared" si="7"/>
        <v>0</v>
      </c>
    </row>
    <row r="358" spans="1:20" hidden="1" outlineLevel="1" x14ac:dyDescent="0.25">
      <c r="A358" s="128"/>
      <c r="B358" s="128"/>
      <c r="C358" s="137"/>
      <c r="D358" s="138"/>
      <c r="E358" s="138"/>
      <c r="F358" s="138"/>
      <c r="G358" s="139"/>
      <c r="H358" s="362"/>
      <c r="I358" s="140"/>
      <c r="J358" s="141"/>
      <c r="K358" s="466"/>
      <c r="L358" s="440"/>
      <c r="M358" s="490"/>
      <c r="N358" s="399"/>
      <c r="O358" s="392" t="e">
        <f t="shared" si="6"/>
        <v>#DIV/0!</v>
      </c>
      <c r="P358" s="405"/>
      <c r="Q358" s="420"/>
      <c r="T358" s="8">
        <f t="shared" si="7"/>
        <v>0</v>
      </c>
    </row>
    <row r="359" spans="1:20" hidden="1" outlineLevel="1" x14ac:dyDescent="0.25">
      <c r="A359" s="224"/>
      <c r="B359" s="224"/>
      <c r="C359" s="225"/>
      <c r="D359" s="226"/>
      <c r="E359" s="226"/>
      <c r="F359" s="144"/>
      <c r="G359" s="145" t="s">
        <v>650</v>
      </c>
      <c r="H359" s="345" t="s">
        <v>284</v>
      </c>
      <c r="I359" s="146" t="s">
        <v>651</v>
      </c>
      <c r="J359" s="147" t="s">
        <v>652</v>
      </c>
      <c r="K359" s="466"/>
      <c r="L359" s="440"/>
      <c r="M359" s="490"/>
      <c r="N359" s="399"/>
      <c r="O359" s="392" t="e">
        <f t="shared" si="6"/>
        <v>#DIV/0!</v>
      </c>
      <c r="P359" s="405"/>
      <c r="Q359" s="420"/>
      <c r="T359" s="8" t="e">
        <f t="shared" si="7"/>
        <v>#VALUE!</v>
      </c>
    </row>
    <row r="360" spans="1:20" hidden="1" outlineLevel="1" x14ac:dyDescent="0.25">
      <c r="A360" s="224"/>
      <c r="B360" s="224"/>
      <c r="C360" s="227"/>
      <c r="D360" s="226"/>
      <c r="E360" s="226"/>
      <c r="F360" s="144"/>
      <c r="G360" s="149" t="s">
        <v>653</v>
      </c>
      <c r="H360" s="345" t="s">
        <v>654</v>
      </c>
      <c r="I360" s="146" t="s">
        <v>655</v>
      </c>
      <c r="J360" s="147" t="s">
        <v>656</v>
      </c>
      <c r="K360" s="466"/>
      <c r="L360" s="440"/>
      <c r="M360" s="490"/>
      <c r="N360" s="399"/>
      <c r="O360" s="392" t="e">
        <f t="shared" si="6"/>
        <v>#DIV/0!</v>
      </c>
      <c r="P360" s="405"/>
      <c r="Q360" s="420"/>
      <c r="T360" s="8" t="e">
        <f t="shared" si="7"/>
        <v>#VALUE!</v>
      </c>
    </row>
    <row r="361" spans="1:20" hidden="1" outlineLevel="1" x14ac:dyDescent="0.25">
      <c r="A361" s="224"/>
      <c r="B361" s="224"/>
      <c r="C361" s="227"/>
      <c r="D361" s="226"/>
      <c r="E361" s="226"/>
      <c r="F361" s="144"/>
      <c r="G361" s="145" t="s">
        <v>657</v>
      </c>
      <c r="H361" s="345" t="s">
        <v>653</v>
      </c>
      <c r="I361" s="146" t="s">
        <v>658</v>
      </c>
      <c r="J361" s="151" t="s">
        <v>659</v>
      </c>
      <c r="K361" s="466"/>
      <c r="L361" s="440"/>
      <c r="M361" s="490"/>
      <c r="N361" s="399"/>
      <c r="O361" s="392" t="e">
        <f t="shared" si="6"/>
        <v>#DIV/0!</v>
      </c>
      <c r="P361" s="405"/>
      <c r="Q361" s="420"/>
      <c r="T361" s="8" t="e">
        <f t="shared" si="7"/>
        <v>#VALUE!</v>
      </c>
    </row>
    <row r="362" spans="1:20" hidden="1" outlineLevel="1" x14ac:dyDescent="0.25">
      <c r="A362" s="224"/>
      <c r="B362" s="224"/>
      <c r="C362" s="227"/>
      <c r="D362" s="226"/>
      <c r="E362" s="226"/>
      <c r="F362" s="144"/>
      <c r="G362" s="149" t="s">
        <v>660</v>
      </c>
      <c r="H362" s="345" t="s">
        <v>661</v>
      </c>
      <c r="I362" s="146" t="s">
        <v>662</v>
      </c>
      <c r="J362" s="152" t="s">
        <v>663</v>
      </c>
      <c r="K362" s="466"/>
      <c r="L362" s="440"/>
      <c r="M362" s="490"/>
      <c r="N362" s="399"/>
      <c r="O362" s="392" t="e">
        <f t="shared" si="6"/>
        <v>#DIV/0!</v>
      </c>
      <c r="P362" s="405"/>
      <c r="Q362" s="420"/>
      <c r="T362" s="8" t="e">
        <f t="shared" si="7"/>
        <v>#VALUE!</v>
      </c>
    </row>
    <row r="363" spans="1:20" hidden="1" outlineLevel="1" x14ac:dyDescent="0.25">
      <c r="A363" s="129"/>
      <c r="B363" s="129"/>
      <c r="C363" s="130"/>
      <c r="D363" s="131"/>
      <c r="E363" s="131"/>
      <c r="F363" s="131"/>
      <c r="G363" s="132"/>
      <c r="H363" s="348"/>
      <c r="I363" s="133"/>
      <c r="J363" s="131"/>
      <c r="K363" s="466"/>
      <c r="L363" s="440"/>
      <c r="M363" s="488"/>
      <c r="N363" s="399"/>
      <c r="O363" s="392" t="e">
        <f t="shared" si="6"/>
        <v>#DIV/0!</v>
      </c>
      <c r="P363" s="405"/>
      <c r="Q363" s="420"/>
      <c r="T363" s="8">
        <f t="shared" si="7"/>
        <v>0</v>
      </c>
    </row>
    <row r="364" spans="1:20" hidden="1" outlineLevel="1" x14ac:dyDescent="0.25">
      <c r="A364" s="118"/>
      <c r="B364" s="128"/>
      <c r="C364" s="156"/>
      <c r="D364" s="157"/>
      <c r="E364" s="157"/>
      <c r="F364" s="138"/>
      <c r="G364" s="158"/>
      <c r="H364" s="258"/>
      <c r="I364" s="159"/>
      <c r="J364" s="157"/>
      <c r="K364" s="466"/>
      <c r="L364" s="440"/>
      <c r="M364" s="488"/>
      <c r="N364" s="399"/>
      <c r="O364" s="392" t="e">
        <f t="shared" si="6"/>
        <v>#DIV/0!</v>
      </c>
      <c r="P364" s="405"/>
      <c r="Q364" s="420"/>
      <c r="T364" s="8">
        <f t="shared" si="7"/>
        <v>0</v>
      </c>
    </row>
    <row r="365" spans="1:20" hidden="1" outlineLevel="1" x14ac:dyDescent="0.25">
      <c r="A365" s="174" t="s">
        <v>607</v>
      </c>
      <c r="B365" s="175"/>
      <c r="C365" s="176"/>
      <c r="D365" s="164"/>
      <c r="E365" s="164"/>
      <c r="F365" s="177" t="s">
        <v>536</v>
      </c>
      <c r="G365" s="178"/>
      <c r="H365" s="350"/>
      <c r="I365" s="179"/>
      <c r="J365" s="164"/>
      <c r="K365" s="466"/>
      <c r="L365" s="440"/>
      <c r="M365" s="490"/>
      <c r="N365" s="399"/>
      <c r="O365" s="392" t="e">
        <f t="shared" si="6"/>
        <v>#DIV/0!</v>
      </c>
      <c r="P365" s="405"/>
      <c r="Q365" s="420"/>
      <c r="T365" s="8">
        <f t="shared" si="7"/>
        <v>0</v>
      </c>
    </row>
    <row r="366" spans="1:20" hidden="1" outlineLevel="1" x14ac:dyDescent="0.25">
      <c r="A366" s="180"/>
      <c r="B366" s="180"/>
      <c r="C366" s="181"/>
      <c r="D366" s="135"/>
      <c r="E366" s="135"/>
      <c r="F366" s="182"/>
      <c r="G366" s="171"/>
      <c r="H366" s="349"/>
      <c r="I366" s="172"/>
      <c r="J366" s="173"/>
      <c r="K366" s="466"/>
      <c r="L366" s="440"/>
      <c r="M366" s="490"/>
      <c r="N366" s="399"/>
      <c r="O366" s="515" t="e">
        <f t="shared" ref="O366:O429" si="8">M366/N366</f>
        <v>#DIV/0!</v>
      </c>
      <c r="P366" s="405"/>
      <c r="Q366" s="420"/>
      <c r="T366" s="8">
        <f t="shared" si="7"/>
        <v>0</v>
      </c>
    </row>
    <row r="367" spans="1:20" x14ac:dyDescent="0.25">
      <c r="A367" s="234">
        <v>7</v>
      </c>
      <c r="B367" s="234" t="s">
        <v>516</v>
      </c>
      <c r="C367" s="253"/>
      <c r="D367" s="186"/>
      <c r="E367" s="186"/>
      <c r="F367" s="267"/>
      <c r="G367" s="236">
        <v>72.7</v>
      </c>
      <c r="H367" s="357">
        <v>1980</v>
      </c>
      <c r="I367" s="237">
        <v>4340</v>
      </c>
      <c r="J367" s="326">
        <v>2</v>
      </c>
      <c r="K367" s="466">
        <v>7</v>
      </c>
      <c r="L367" s="447" t="str">
        <f>B367</f>
        <v>Transport</v>
      </c>
      <c r="M367" s="500">
        <f>M369+M383+M406</f>
        <v>12.4</v>
      </c>
      <c r="N367" s="391">
        <f>G367</f>
        <v>72.7</v>
      </c>
      <c r="O367" s="392">
        <f t="shared" si="8"/>
        <v>0.17056396148555708</v>
      </c>
      <c r="P367" s="392">
        <v>0.65</v>
      </c>
      <c r="Q367" s="417" t="s">
        <v>1074</v>
      </c>
      <c r="R367" s="116" t="s">
        <v>1075</v>
      </c>
      <c r="T367" s="8">
        <f t="shared" si="7"/>
        <v>0.88211382113821135</v>
      </c>
    </row>
    <row r="368" spans="1:20" hidden="1" outlineLevel="1" x14ac:dyDescent="0.25">
      <c r="A368" s="136"/>
      <c r="B368" s="136"/>
      <c r="C368" s="204"/>
      <c r="D368" s="137"/>
      <c r="E368" s="137"/>
      <c r="F368" s="138"/>
      <c r="G368" s="197"/>
      <c r="H368" s="353"/>
      <c r="I368" s="198"/>
      <c r="J368" s="199"/>
      <c r="K368" s="466"/>
      <c r="L368" s="440"/>
      <c r="M368" s="414"/>
      <c r="N368" s="399"/>
      <c r="O368" s="529" t="e">
        <f t="shared" si="8"/>
        <v>#DIV/0!</v>
      </c>
      <c r="P368" s="405"/>
      <c r="Q368" s="420"/>
      <c r="T368" s="8">
        <f t="shared" si="7"/>
        <v>0</v>
      </c>
    </row>
    <row r="369" spans="1:20" outlineLevel="1" x14ac:dyDescent="0.25">
      <c r="A369" s="155">
        <v>7.1</v>
      </c>
      <c r="B369" s="155" t="s">
        <v>1076</v>
      </c>
      <c r="C369" s="135"/>
      <c r="D369" s="135"/>
      <c r="E369" s="135"/>
      <c r="F369" s="118"/>
      <c r="G369" s="396">
        <v>24.8</v>
      </c>
      <c r="H369" s="258">
        <v>676</v>
      </c>
      <c r="I369" s="159">
        <v>1250</v>
      </c>
      <c r="J369" s="254">
        <v>4.3</v>
      </c>
      <c r="K369" s="466"/>
      <c r="L369" s="446" t="str">
        <f>B369</f>
        <v>Purchase of vehicles</v>
      </c>
      <c r="M369" s="538">
        <f>G369/2</f>
        <v>12.4</v>
      </c>
      <c r="N369" s="537"/>
      <c r="O369" s="392"/>
      <c r="P369" s="392"/>
      <c r="Q369" s="545" t="s">
        <v>975</v>
      </c>
      <c r="R369" s="116" t="s">
        <v>1077</v>
      </c>
      <c r="T369" s="8">
        <f t="shared" si="7"/>
        <v>0.25406504065040653</v>
      </c>
    </row>
    <row r="370" spans="1:20" hidden="1" outlineLevel="1" x14ac:dyDescent="0.25">
      <c r="A370" s="210"/>
      <c r="B370" s="136" t="s">
        <v>1078</v>
      </c>
      <c r="C370" s="201" t="s">
        <v>1079</v>
      </c>
      <c r="D370" s="137"/>
      <c r="E370" s="137"/>
      <c r="F370" s="138"/>
      <c r="G370" s="158">
        <v>8.6999999999999993</v>
      </c>
      <c r="H370" s="258">
        <v>236</v>
      </c>
      <c r="I370" s="159">
        <v>360</v>
      </c>
      <c r="J370" s="254">
        <v>8.1</v>
      </c>
      <c r="K370" s="466"/>
      <c r="L370" s="440"/>
      <c r="M370" s="414"/>
      <c r="N370" s="399"/>
      <c r="O370" s="530" t="e">
        <f t="shared" si="8"/>
        <v>#DIV/0!</v>
      </c>
      <c r="P370" s="405"/>
      <c r="Q370" s="420"/>
      <c r="T370" s="8">
        <f t="shared" si="7"/>
        <v>7.3170731707317069E-2</v>
      </c>
    </row>
    <row r="371" spans="1:20" hidden="1" outlineLevel="1" x14ac:dyDescent="0.25">
      <c r="A371" s="137"/>
      <c r="B371" s="136"/>
      <c r="C371" s="136" t="s">
        <v>1080</v>
      </c>
      <c r="D371" s="136" t="s">
        <v>1081</v>
      </c>
      <c r="E371" s="137"/>
      <c r="F371" s="138"/>
      <c r="G371" s="158">
        <v>4.0999999999999996</v>
      </c>
      <c r="H371" s="258">
        <v>112</v>
      </c>
      <c r="I371" s="159">
        <v>80</v>
      </c>
      <c r="J371" s="254">
        <v>12.9</v>
      </c>
      <c r="K371" s="466"/>
      <c r="L371" s="440"/>
      <c r="M371" s="414"/>
      <c r="N371" s="399"/>
      <c r="O371" s="392" t="e">
        <f t="shared" si="8"/>
        <v>#DIV/0!</v>
      </c>
      <c r="P371" s="405"/>
      <c r="Q371" s="420"/>
      <c r="T371" s="8">
        <f t="shared" si="7"/>
        <v>1.6260162601626018E-2</v>
      </c>
    </row>
    <row r="372" spans="1:20" hidden="1" outlineLevel="1" x14ac:dyDescent="0.25">
      <c r="A372" s="137"/>
      <c r="B372" s="136"/>
      <c r="C372" s="136" t="s">
        <v>1082</v>
      </c>
      <c r="D372" s="137" t="s">
        <v>1083</v>
      </c>
      <c r="E372" s="137"/>
      <c r="F372" s="138"/>
      <c r="G372" s="158">
        <v>4.5</v>
      </c>
      <c r="H372" s="258">
        <v>124</v>
      </c>
      <c r="I372" s="159">
        <v>270</v>
      </c>
      <c r="J372" s="254">
        <v>10.5</v>
      </c>
      <c r="K372" s="466"/>
      <c r="L372" s="440"/>
      <c r="M372" s="414"/>
      <c r="N372" s="399"/>
      <c r="O372" s="392" t="e">
        <f t="shared" si="8"/>
        <v>#DIV/0!</v>
      </c>
      <c r="P372" s="405"/>
      <c r="Q372" s="420"/>
      <c r="T372" s="8">
        <f t="shared" si="7"/>
        <v>5.4878048780487805E-2</v>
      </c>
    </row>
    <row r="373" spans="1:20" hidden="1" outlineLevel="1" x14ac:dyDescent="0.25">
      <c r="A373" s="137"/>
      <c r="B373" s="136"/>
      <c r="C373" s="200"/>
      <c r="D373" s="137"/>
      <c r="E373" s="137"/>
      <c r="F373" s="138"/>
      <c r="G373" s="158"/>
      <c r="H373" s="258"/>
      <c r="I373" s="159"/>
      <c r="J373" s="254"/>
      <c r="K373" s="466"/>
      <c r="L373" s="440"/>
      <c r="M373" s="414"/>
      <c r="N373" s="399"/>
      <c r="O373" s="392" t="e">
        <f t="shared" si="8"/>
        <v>#DIV/0!</v>
      </c>
      <c r="P373" s="405"/>
      <c r="Q373" s="420"/>
      <c r="T373" s="8">
        <f t="shared" si="7"/>
        <v>0</v>
      </c>
    </row>
    <row r="374" spans="1:20" hidden="1" outlineLevel="1" x14ac:dyDescent="0.25">
      <c r="A374" s="137"/>
      <c r="B374" s="136" t="s">
        <v>1084</v>
      </c>
      <c r="C374" s="136" t="s">
        <v>1085</v>
      </c>
      <c r="D374" s="200"/>
      <c r="E374" s="137"/>
      <c r="F374" s="138"/>
      <c r="G374" s="158">
        <v>14.9</v>
      </c>
      <c r="H374" s="258">
        <v>405</v>
      </c>
      <c r="I374" s="159">
        <v>900</v>
      </c>
      <c r="J374" s="254">
        <v>5</v>
      </c>
      <c r="K374" s="466"/>
      <c r="L374" s="440"/>
      <c r="M374" s="414"/>
      <c r="N374" s="399"/>
      <c r="O374" s="392" t="e">
        <f t="shared" si="8"/>
        <v>#DIV/0!</v>
      </c>
      <c r="P374" s="405"/>
      <c r="Q374" s="420"/>
      <c r="T374" s="8">
        <f t="shared" si="7"/>
        <v>0.18292682926829268</v>
      </c>
    </row>
    <row r="375" spans="1:20" hidden="1" outlineLevel="1" x14ac:dyDescent="0.25">
      <c r="A375" s="137"/>
      <c r="B375" s="136"/>
      <c r="C375" s="136" t="s">
        <v>1086</v>
      </c>
      <c r="D375" s="136" t="s">
        <v>1081</v>
      </c>
      <c r="E375" s="137"/>
      <c r="F375" s="138"/>
      <c r="G375" s="158">
        <v>10.5</v>
      </c>
      <c r="H375" s="258">
        <v>286</v>
      </c>
      <c r="I375" s="159">
        <v>520</v>
      </c>
      <c r="J375" s="254">
        <v>5.8</v>
      </c>
      <c r="K375" s="466"/>
      <c r="L375" s="440"/>
      <c r="M375" s="414"/>
      <c r="N375" s="399"/>
      <c r="O375" s="392" t="e">
        <f t="shared" si="8"/>
        <v>#DIV/0!</v>
      </c>
      <c r="P375" s="405"/>
      <c r="Q375" s="420"/>
      <c r="T375" s="8">
        <f t="shared" si="7"/>
        <v>0.10569105691056911</v>
      </c>
    </row>
    <row r="376" spans="1:20" hidden="1" outlineLevel="1" x14ac:dyDescent="0.25">
      <c r="A376" s="137"/>
      <c r="B376" s="136"/>
      <c r="C376" s="136" t="s">
        <v>1087</v>
      </c>
      <c r="D376" s="137" t="s">
        <v>1088</v>
      </c>
      <c r="E376" s="137"/>
      <c r="F376" s="138"/>
      <c r="G376" s="158">
        <v>4.4000000000000004</v>
      </c>
      <c r="H376" s="258">
        <v>119</v>
      </c>
      <c r="I376" s="159">
        <v>410</v>
      </c>
      <c r="J376" s="254">
        <v>8.6</v>
      </c>
      <c r="K376" s="466"/>
      <c r="L376" s="440"/>
      <c r="M376" s="414"/>
      <c r="N376" s="399"/>
      <c r="O376" s="392" t="e">
        <f t="shared" si="8"/>
        <v>#DIV/0!</v>
      </c>
      <c r="P376" s="405"/>
      <c r="Q376" s="420"/>
      <c r="T376" s="8">
        <f t="shared" si="7"/>
        <v>8.3333333333333329E-2</v>
      </c>
    </row>
    <row r="377" spans="1:20" hidden="1" outlineLevel="1" x14ac:dyDescent="0.25">
      <c r="A377" s="137"/>
      <c r="B377" s="200"/>
      <c r="C377" s="136"/>
      <c r="D377" s="200"/>
      <c r="E377" s="137"/>
      <c r="F377" s="138"/>
      <c r="G377" s="158"/>
      <c r="H377" s="258"/>
      <c r="I377" s="159"/>
      <c r="J377" s="257"/>
      <c r="K377" s="466"/>
      <c r="L377" s="440"/>
      <c r="M377" s="414"/>
      <c r="N377" s="399"/>
      <c r="O377" s="392" t="e">
        <f t="shared" si="8"/>
        <v>#DIV/0!</v>
      </c>
      <c r="P377" s="405"/>
      <c r="Q377" s="420"/>
      <c r="T377" s="8">
        <f t="shared" si="7"/>
        <v>0</v>
      </c>
    </row>
    <row r="378" spans="1:20" hidden="1" outlineLevel="1" x14ac:dyDescent="0.25">
      <c r="A378" s="137"/>
      <c r="B378" s="136" t="s">
        <v>1089</v>
      </c>
      <c r="C378" s="201" t="s">
        <v>1090</v>
      </c>
      <c r="D378" s="200"/>
      <c r="E378" s="137"/>
      <c r="F378" s="138"/>
      <c r="G378" s="158">
        <v>1.3</v>
      </c>
      <c r="H378" s="258">
        <v>35</v>
      </c>
      <c r="I378" s="159">
        <v>80</v>
      </c>
      <c r="J378" s="254">
        <v>20.6</v>
      </c>
      <c r="K378" s="466"/>
      <c r="L378" s="440"/>
      <c r="M378" s="414"/>
      <c r="N378" s="399"/>
      <c r="O378" s="392" t="e">
        <f t="shared" si="8"/>
        <v>#DIV/0!</v>
      </c>
      <c r="P378" s="405"/>
      <c r="Q378" s="420"/>
      <c r="T378" s="8">
        <f t="shared" si="7"/>
        <v>1.6260162601626018E-2</v>
      </c>
    </row>
    <row r="379" spans="1:20" hidden="1" outlineLevel="1" x14ac:dyDescent="0.25">
      <c r="A379" s="137"/>
      <c r="B379" s="136"/>
      <c r="C379" s="136" t="s">
        <v>1091</v>
      </c>
      <c r="D379" s="136" t="s">
        <v>1092</v>
      </c>
      <c r="E379" s="137"/>
      <c r="F379" s="138"/>
      <c r="G379" s="158">
        <v>0.3</v>
      </c>
      <c r="H379" s="258">
        <v>9</v>
      </c>
      <c r="I379" s="159">
        <v>20</v>
      </c>
      <c r="J379" s="254">
        <v>28.1</v>
      </c>
      <c r="K379" s="466"/>
      <c r="L379" s="440"/>
      <c r="M379" s="414"/>
      <c r="N379" s="399"/>
      <c r="O379" s="392" t="e">
        <f t="shared" si="8"/>
        <v>#DIV/0!</v>
      </c>
      <c r="P379" s="405"/>
      <c r="Q379" s="420"/>
      <c r="T379" s="8">
        <f t="shared" si="7"/>
        <v>4.0650406504065045E-3</v>
      </c>
    </row>
    <row r="380" spans="1:20" hidden="1" outlineLevel="1" x14ac:dyDescent="0.25">
      <c r="A380" s="137"/>
      <c r="B380" s="136"/>
      <c r="C380" s="136" t="s">
        <v>1093</v>
      </c>
      <c r="D380" s="136" t="s">
        <v>1094</v>
      </c>
      <c r="E380" s="137"/>
      <c r="F380" s="138"/>
      <c r="G380" s="377">
        <v>0.1</v>
      </c>
      <c r="H380" s="375">
        <v>3</v>
      </c>
      <c r="I380" s="159">
        <v>10</v>
      </c>
      <c r="J380" s="254">
        <v>46.8</v>
      </c>
      <c r="K380" s="466"/>
      <c r="L380" s="440"/>
      <c r="M380" s="414"/>
      <c r="N380" s="399"/>
      <c r="O380" s="392" t="e">
        <f t="shared" si="8"/>
        <v>#DIV/0!</v>
      </c>
      <c r="P380" s="405"/>
      <c r="Q380" s="420"/>
      <c r="T380" s="8">
        <f t="shared" si="7"/>
        <v>2.0325203252032522E-3</v>
      </c>
    </row>
    <row r="381" spans="1:20" hidden="1" outlineLevel="1" x14ac:dyDescent="0.25">
      <c r="A381" s="137"/>
      <c r="B381" s="136"/>
      <c r="C381" s="136" t="s">
        <v>1095</v>
      </c>
      <c r="D381" s="136" t="s">
        <v>1096</v>
      </c>
      <c r="E381" s="137"/>
      <c r="F381" s="138"/>
      <c r="G381" s="158">
        <v>0.8</v>
      </c>
      <c r="H381" s="258">
        <v>23</v>
      </c>
      <c r="I381" s="159">
        <v>40</v>
      </c>
      <c r="J381" s="254">
        <v>28.2</v>
      </c>
      <c r="K381" s="466"/>
      <c r="L381" s="440"/>
      <c r="M381" s="414"/>
      <c r="N381" s="399"/>
      <c r="O381" s="392" t="e">
        <f t="shared" si="8"/>
        <v>#DIV/0!</v>
      </c>
      <c r="P381" s="405"/>
      <c r="Q381" s="420"/>
      <c r="T381" s="8">
        <f t="shared" si="7"/>
        <v>8.130081300813009E-3</v>
      </c>
    </row>
    <row r="382" spans="1:20" hidden="1" outlineLevel="1" x14ac:dyDescent="0.25">
      <c r="A382" s="136"/>
      <c r="B382" s="200"/>
      <c r="C382" s="200"/>
      <c r="D382" s="137"/>
      <c r="E382" s="137"/>
      <c r="F382" s="138"/>
      <c r="G382" s="158"/>
      <c r="H382" s="258"/>
      <c r="I382" s="159"/>
      <c r="J382" s="254"/>
      <c r="K382" s="466"/>
      <c r="L382" s="440"/>
      <c r="M382" s="414"/>
      <c r="N382" s="399"/>
      <c r="O382" s="515" t="e">
        <f t="shared" si="8"/>
        <v>#DIV/0!</v>
      </c>
      <c r="P382" s="405"/>
      <c r="Q382" s="420"/>
      <c r="T382" s="8">
        <f t="shared" si="7"/>
        <v>0</v>
      </c>
    </row>
    <row r="383" spans="1:20" outlineLevel="1" x14ac:dyDescent="0.25">
      <c r="A383" s="155">
        <v>7.2</v>
      </c>
      <c r="B383" s="155" t="s">
        <v>1097</v>
      </c>
      <c r="C383" s="195"/>
      <c r="D383" s="135"/>
      <c r="E383" s="135"/>
      <c r="F383" s="118"/>
      <c r="G383" s="158">
        <v>30.8</v>
      </c>
      <c r="H383" s="258">
        <v>837</v>
      </c>
      <c r="I383" s="159">
        <v>3780</v>
      </c>
      <c r="J383" s="254">
        <v>2.2000000000000002</v>
      </c>
      <c r="K383" s="466"/>
      <c r="L383" s="446" t="str">
        <f>B383</f>
        <v>Operation of personal transport</v>
      </c>
      <c r="M383" s="538">
        <f>SUBTOTAL(9,M384:M404)</f>
        <v>0</v>
      </c>
      <c r="N383" s="537"/>
      <c r="O383" s="392"/>
      <c r="P383" s="392"/>
      <c r="Q383" s="545" t="s">
        <v>975</v>
      </c>
      <c r="R383" s="116" t="s">
        <v>1098</v>
      </c>
      <c r="T383" s="8">
        <f t="shared" si="7"/>
        <v>0.76829268292682928</v>
      </c>
    </row>
    <row r="384" spans="1:20" hidden="1" outlineLevel="1" x14ac:dyDescent="0.25">
      <c r="A384" s="137"/>
      <c r="B384" s="136" t="s">
        <v>1099</v>
      </c>
      <c r="C384" s="201" t="s">
        <v>1100</v>
      </c>
      <c r="D384" s="137"/>
      <c r="E384" s="137"/>
      <c r="F384" s="138"/>
      <c r="G384" s="158">
        <v>2.5</v>
      </c>
      <c r="H384" s="258">
        <v>68</v>
      </c>
      <c r="I384" s="159">
        <v>360</v>
      </c>
      <c r="J384" s="254">
        <v>15.2</v>
      </c>
      <c r="K384" s="466"/>
      <c r="L384" s="440"/>
      <c r="M384" s="414">
        <f>G384/2</f>
        <v>1.25</v>
      </c>
      <c r="N384" s="399"/>
      <c r="O384" s="530" t="e">
        <f t="shared" si="8"/>
        <v>#DIV/0!</v>
      </c>
      <c r="P384" s="405"/>
      <c r="Q384" s="420"/>
      <c r="R384" t="s">
        <v>1101</v>
      </c>
      <c r="T384" s="8">
        <f t="shared" si="7"/>
        <v>7.3170731707317069E-2</v>
      </c>
    </row>
    <row r="385" spans="1:20" hidden="1" outlineLevel="1" x14ac:dyDescent="0.25">
      <c r="A385" s="137"/>
      <c r="B385" s="200"/>
      <c r="C385" s="201" t="s">
        <v>1102</v>
      </c>
      <c r="D385" s="136" t="s">
        <v>1103</v>
      </c>
      <c r="E385" s="137"/>
      <c r="F385" s="138"/>
      <c r="G385" s="158">
        <v>0.2</v>
      </c>
      <c r="H385" s="258">
        <v>6</v>
      </c>
      <c r="I385" s="159">
        <v>70</v>
      </c>
      <c r="J385" s="254">
        <v>30.8</v>
      </c>
      <c r="K385" s="466"/>
      <c r="L385" s="440"/>
      <c r="M385" s="414"/>
      <c r="N385" s="399"/>
      <c r="O385" s="392" t="e">
        <f t="shared" si="8"/>
        <v>#DIV/0!</v>
      </c>
      <c r="P385" s="405"/>
      <c r="Q385" s="420"/>
      <c r="T385" s="8">
        <f t="shared" si="7"/>
        <v>1.4227642276422764E-2</v>
      </c>
    </row>
    <row r="386" spans="1:20" hidden="1" outlineLevel="1" x14ac:dyDescent="0.25">
      <c r="A386" s="137"/>
      <c r="B386" s="200"/>
      <c r="C386" s="201" t="s">
        <v>1104</v>
      </c>
      <c r="D386" s="136" t="s">
        <v>1105</v>
      </c>
      <c r="E386" s="137"/>
      <c r="F386" s="138"/>
      <c r="G386" s="158">
        <v>2</v>
      </c>
      <c r="H386" s="258">
        <v>55</v>
      </c>
      <c r="I386" s="159">
        <v>220</v>
      </c>
      <c r="J386" s="254">
        <v>18.100000000000001</v>
      </c>
      <c r="K386" s="466"/>
      <c r="L386" s="440"/>
      <c r="M386" s="414"/>
      <c r="N386" s="399"/>
      <c r="O386" s="392" t="e">
        <f t="shared" si="8"/>
        <v>#DIV/0!</v>
      </c>
      <c r="P386" s="405"/>
      <c r="Q386" s="420"/>
      <c r="T386" s="8">
        <f t="shared" si="7"/>
        <v>4.4715447154471545E-2</v>
      </c>
    </row>
    <row r="387" spans="1:20" hidden="1" outlineLevel="1" x14ac:dyDescent="0.25">
      <c r="A387" s="137"/>
      <c r="B387" s="136"/>
      <c r="C387" s="136" t="s">
        <v>1106</v>
      </c>
      <c r="D387" s="136" t="s">
        <v>1107</v>
      </c>
      <c r="E387" s="137"/>
      <c r="F387" s="138"/>
      <c r="G387" s="376">
        <v>0.1</v>
      </c>
      <c r="H387" s="375">
        <v>2</v>
      </c>
      <c r="I387" s="159">
        <v>10</v>
      </c>
      <c r="J387" s="254">
        <v>38.200000000000003</v>
      </c>
      <c r="K387" s="466"/>
      <c r="L387" s="440"/>
      <c r="M387" s="414"/>
      <c r="N387" s="399"/>
      <c r="O387" s="392" t="e">
        <f t="shared" si="8"/>
        <v>#DIV/0!</v>
      </c>
      <c r="P387" s="405"/>
      <c r="Q387" s="420"/>
      <c r="T387" s="8">
        <f t="shared" si="7"/>
        <v>2.0325203252032522E-3</v>
      </c>
    </row>
    <row r="388" spans="1:20" hidden="1" outlineLevel="1" x14ac:dyDescent="0.25">
      <c r="A388" s="137"/>
      <c r="B388" s="136"/>
      <c r="C388" s="136" t="s">
        <v>1108</v>
      </c>
      <c r="D388" s="136" t="s">
        <v>1109</v>
      </c>
      <c r="E388" s="137"/>
      <c r="F388" s="138"/>
      <c r="G388" s="158">
        <v>0.2</v>
      </c>
      <c r="H388" s="258">
        <v>6</v>
      </c>
      <c r="I388" s="159">
        <v>90</v>
      </c>
      <c r="J388" s="254">
        <v>17.600000000000001</v>
      </c>
      <c r="K388" s="466"/>
      <c r="L388" s="440"/>
      <c r="M388" s="414"/>
      <c r="N388" s="399"/>
      <c r="O388" s="392" t="e">
        <f t="shared" si="8"/>
        <v>#DIV/0!</v>
      </c>
      <c r="P388" s="405"/>
      <c r="Q388" s="420"/>
      <c r="T388" s="8">
        <f t="shared" si="7"/>
        <v>1.8292682926829267E-2</v>
      </c>
    </row>
    <row r="389" spans="1:20" hidden="1" outlineLevel="1" x14ac:dyDescent="0.25">
      <c r="A389" s="136"/>
      <c r="B389" s="136"/>
      <c r="C389" s="200"/>
      <c r="D389" s="137"/>
      <c r="E389" s="137"/>
      <c r="F389" s="138"/>
      <c r="G389" s="158"/>
      <c r="H389" s="258"/>
      <c r="I389" s="159"/>
      <c r="J389" s="254"/>
      <c r="K389" s="466"/>
      <c r="L389" s="440"/>
      <c r="M389" s="414"/>
      <c r="N389" s="399"/>
      <c r="O389" s="392" t="e">
        <f t="shared" si="8"/>
        <v>#DIV/0!</v>
      </c>
      <c r="P389" s="405"/>
      <c r="Q389" s="420"/>
      <c r="T389" s="8">
        <f t="shared" si="7"/>
        <v>0</v>
      </c>
    </row>
    <row r="390" spans="1:20" hidden="1" outlineLevel="1" x14ac:dyDescent="0.25">
      <c r="A390" s="137"/>
      <c r="B390" s="136" t="s">
        <v>1110</v>
      </c>
      <c r="C390" s="136" t="s">
        <v>1111</v>
      </c>
      <c r="D390" s="200"/>
      <c r="E390" s="200"/>
      <c r="F390" s="138"/>
      <c r="G390" s="158">
        <v>19.399999999999999</v>
      </c>
      <c r="H390" s="258">
        <v>527</v>
      </c>
      <c r="I390" s="159">
        <v>3070</v>
      </c>
      <c r="J390" s="254">
        <v>1.9</v>
      </c>
      <c r="K390" s="466"/>
      <c r="L390" s="440"/>
      <c r="M390" s="414"/>
      <c r="N390" s="399"/>
      <c r="O390" s="392" t="e">
        <f t="shared" si="8"/>
        <v>#DIV/0!</v>
      </c>
      <c r="P390" s="405"/>
      <c r="Q390" s="420"/>
      <c r="T390" s="8">
        <f t="shared" si="7"/>
        <v>0.62398373983739841</v>
      </c>
    </row>
    <row r="391" spans="1:20" hidden="1" outlineLevel="1" x14ac:dyDescent="0.25">
      <c r="A391" s="137"/>
      <c r="B391" s="136"/>
      <c r="C391" s="136" t="s">
        <v>1112</v>
      </c>
      <c r="D391" s="136" t="s">
        <v>1113</v>
      </c>
      <c r="E391" s="137"/>
      <c r="F391" s="138"/>
      <c r="G391" s="158">
        <v>12</v>
      </c>
      <c r="H391" s="258">
        <v>327</v>
      </c>
      <c r="I391" s="159">
        <v>2200</v>
      </c>
      <c r="J391" s="254">
        <v>2.6</v>
      </c>
      <c r="K391" s="466"/>
      <c r="L391" s="440"/>
      <c r="M391" s="414"/>
      <c r="N391" s="399"/>
      <c r="O391" s="392" t="e">
        <f t="shared" si="8"/>
        <v>#DIV/0!</v>
      </c>
      <c r="P391" s="405"/>
      <c r="Q391" s="420"/>
      <c r="T391" s="8">
        <f t="shared" si="7"/>
        <v>0.44715447154471544</v>
      </c>
    </row>
    <row r="392" spans="1:20" hidden="1" outlineLevel="1" x14ac:dyDescent="0.25">
      <c r="A392" s="137"/>
      <c r="B392" s="200"/>
      <c r="C392" s="201" t="s">
        <v>1114</v>
      </c>
      <c r="D392" s="136" t="s">
        <v>1115</v>
      </c>
      <c r="E392" s="137"/>
      <c r="F392" s="138"/>
      <c r="G392" s="158">
        <v>7.3</v>
      </c>
      <c r="H392" s="258">
        <v>197</v>
      </c>
      <c r="I392" s="159">
        <v>1290</v>
      </c>
      <c r="J392" s="254">
        <v>3.2</v>
      </c>
      <c r="K392" s="466"/>
      <c r="L392" s="440"/>
      <c r="M392" s="414"/>
      <c r="N392" s="399"/>
      <c r="O392" s="392" t="e">
        <f t="shared" si="8"/>
        <v>#DIV/0!</v>
      </c>
      <c r="P392" s="405"/>
      <c r="Q392" s="420"/>
      <c r="T392" s="8">
        <f t="shared" si="7"/>
        <v>0.26219512195121952</v>
      </c>
    </row>
    <row r="393" spans="1:20" hidden="1" outlineLevel="1" x14ac:dyDescent="0.25">
      <c r="A393" s="137"/>
      <c r="B393" s="200"/>
      <c r="C393" s="201" t="s">
        <v>1116</v>
      </c>
      <c r="D393" s="136" t="s">
        <v>1117</v>
      </c>
      <c r="E393" s="137"/>
      <c r="F393" s="138"/>
      <c r="G393" s="158">
        <v>0.1</v>
      </c>
      <c r="H393" s="258">
        <v>3</v>
      </c>
      <c r="I393" s="159">
        <v>70</v>
      </c>
      <c r="J393" s="254">
        <v>15</v>
      </c>
      <c r="K393" s="466"/>
      <c r="L393" s="440"/>
      <c r="M393" s="414"/>
      <c r="N393" s="399"/>
      <c r="O393" s="392" t="e">
        <f t="shared" si="8"/>
        <v>#DIV/0!</v>
      </c>
      <c r="P393" s="405"/>
      <c r="Q393" s="420"/>
      <c r="T393" s="8">
        <f t="shared" si="7"/>
        <v>1.4227642276422764E-2</v>
      </c>
    </row>
    <row r="394" spans="1:20" hidden="1" outlineLevel="1" x14ac:dyDescent="0.25">
      <c r="A394" s="137"/>
      <c r="B394" s="200"/>
      <c r="C394" s="200"/>
      <c r="D394" s="136"/>
      <c r="E394" s="137"/>
      <c r="F394" s="138"/>
      <c r="G394" s="158"/>
      <c r="H394" s="258"/>
      <c r="I394" s="159"/>
      <c r="J394" s="254"/>
      <c r="K394" s="466"/>
      <c r="L394" s="440"/>
      <c r="M394" s="414"/>
      <c r="N394" s="399"/>
      <c r="O394" s="392" t="e">
        <f t="shared" si="8"/>
        <v>#DIV/0!</v>
      </c>
      <c r="P394" s="405"/>
      <c r="Q394" s="420"/>
      <c r="T394" s="8">
        <f t="shared" si="7"/>
        <v>0</v>
      </c>
    </row>
    <row r="395" spans="1:20" hidden="1" outlineLevel="1" x14ac:dyDescent="0.25">
      <c r="A395" s="137"/>
      <c r="B395" s="136" t="s">
        <v>1118</v>
      </c>
      <c r="C395" s="136" t="s">
        <v>1119</v>
      </c>
      <c r="D395" s="200"/>
      <c r="E395" s="137"/>
      <c r="F395" s="138"/>
      <c r="G395" s="158">
        <v>6.2</v>
      </c>
      <c r="H395" s="258">
        <v>169</v>
      </c>
      <c r="I395" s="159">
        <v>2560</v>
      </c>
      <c r="J395" s="254">
        <v>3.6</v>
      </c>
      <c r="K395" s="466"/>
      <c r="L395" s="440"/>
      <c r="M395" s="414"/>
      <c r="N395" s="399"/>
      <c r="O395" s="392" t="e">
        <f t="shared" si="8"/>
        <v>#DIV/0!</v>
      </c>
      <c r="P395" s="405"/>
      <c r="Q395" s="420"/>
      <c r="T395" s="8">
        <f t="shared" si="7"/>
        <v>0.52032520325203258</v>
      </c>
    </row>
    <row r="396" spans="1:20" hidden="1" outlineLevel="1" x14ac:dyDescent="0.25">
      <c r="A396" s="137"/>
      <c r="B396" s="136"/>
      <c r="C396" s="136" t="s">
        <v>1120</v>
      </c>
      <c r="D396" s="136" t="s">
        <v>1121</v>
      </c>
      <c r="E396" s="137"/>
      <c r="F396" s="138"/>
      <c r="G396" s="158">
        <v>6.1</v>
      </c>
      <c r="H396" s="258">
        <v>167</v>
      </c>
      <c r="I396" s="159">
        <v>2550</v>
      </c>
      <c r="J396" s="254">
        <v>3.6</v>
      </c>
      <c r="K396" s="466"/>
      <c r="L396" s="440"/>
      <c r="M396" s="414"/>
      <c r="N396" s="399"/>
      <c r="O396" s="392" t="e">
        <f t="shared" si="8"/>
        <v>#DIV/0!</v>
      </c>
      <c r="P396" s="405"/>
      <c r="Q396" s="420"/>
      <c r="T396" s="8">
        <f t="shared" si="7"/>
        <v>0.51829268292682928</v>
      </c>
    </row>
    <row r="397" spans="1:20" hidden="1" outlineLevel="1" x14ac:dyDescent="0.25">
      <c r="A397" s="137"/>
      <c r="B397" s="136"/>
      <c r="C397" s="136" t="s">
        <v>1122</v>
      </c>
      <c r="D397" s="136" t="s">
        <v>1123</v>
      </c>
      <c r="E397" s="137"/>
      <c r="F397" s="138"/>
      <c r="G397" s="158">
        <v>0.1</v>
      </c>
      <c r="H397" s="258">
        <v>2</v>
      </c>
      <c r="I397" s="159">
        <v>40</v>
      </c>
      <c r="J397" s="254">
        <v>27.1</v>
      </c>
      <c r="K397" s="466"/>
      <c r="L397" s="440"/>
      <c r="M397" s="414"/>
      <c r="N397" s="399"/>
      <c r="O397" s="392" t="e">
        <f t="shared" si="8"/>
        <v>#DIV/0!</v>
      </c>
      <c r="P397" s="405"/>
      <c r="Q397" s="420"/>
      <c r="T397" s="8">
        <f t="shared" si="7"/>
        <v>8.130081300813009E-3</v>
      </c>
    </row>
    <row r="398" spans="1:20" hidden="1" outlineLevel="1" x14ac:dyDescent="0.25">
      <c r="A398" s="137"/>
      <c r="B398" s="136"/>
      <c r="C398" s="200"/>
      <c r="D398" s="137"/>
      <c r="E398" s="137"/>
      <c r="F398" s="138"/>
      <c r="G398" s="158"/>
      <c r="H398" s="258"/>
      <c r="I398" s="159"/>
      <c r="J398" s="254"/>
      <c r="K398" s="466"/>
      <c r="L398" s="440"/>
      <c r="M398" s="414"/>
      <c r="N398" s="399"/>
      <c r="O398" s="392" t="e">
        <f t="shared" si="8"/>
        <v>#DIV/0!</v>
      </c>
      <c r="P398" s="405"/>
      <c r="Q398" s="420"/>
      <c r="T398" s="8">
        <f t="shared" si="7"/>
        <v>0</v>
      </c>
    </row>
    <row r="399" spans="1:20" hidden="1" outlineLevel="1" x14ac:dyDescent="0.25">
      <c r="A399" s="137"/>
      <c r="B399" s="136" t="s">
        <v>1124</v>
      </c>
      <c r="C399" s="136" t="s">
        <v>1125</v>
      </c>
      <c r="D399" s="137"/>
      <c r="E399" s="137"/>
      <c r="F399" s="138"/>
      <c r="G399" s="158">
        <v>2.7</v>
      </c>
      <c r="H399" s="258">
        <v>73</v>
      </c>
      <c r="I399" s="159">
        <v>1870</v>
      </c>
      <c r="J399" s="254">
        <v>5.9</v>
      </c>
      <c r="K399" s="466"/>
      <c r="L399" s="440"/>
      <c r="M399" s="414"/>
      <c r="N399" s="399"/>
      <c r="O399" s="392" t="e">
        <f t="shared" si="8"/>
        <v>#DIV/0!</v>
      </c>
      <c r="P399" s="405"/>
      <c r="Q399" s="420"/>
      <c r="T399" s="8">
        <f t="shared" si="7"/>
        <v>0.38008130081300812</v>
      </c>
    </row>
    <row r="400" spans="1:20" hidden="1" outlineLevel="1" x14ac:dyDescent="0.25">
      <c r="A400" s="137"/>
      <c r="B400" s="136"/>
      <c r="C400" s="136" t="s">
        <v>1126</v>
      </c>
      <c r="D400" s="137" t="s">
        <v>1127</v>
      </c>
      <c r="E400" s="137"/>
      <c r="F400" s="138"/>
      <c r="G400" s="396">
        <v>0.4</v>
      </c>
      <c r="H400" s="258">
        <v>12</v>
      </c>
      <c r="I400" s="159">
        <v>770</v>
      </c>
      <c r="J400" s="254">
        <v>7.1</v>
      </c>
      <c r="K400" s="466"/>
      <c r="L400" s="440"/>
      <c r="M400" s="414">
        <f>G400</f>
        <v>0.4</v>
      </c>
      <c r="N400" s="399"/>
      <c r="O400" s="392" t="e">
        <f t="shared" si="8"/>
        <v>#DIV/0!</v>
      </c>
      <c r="P400" s="405"/>
      <c r="Q400" s="420"/>
      <c r="R400" t="s">
        <v>1128</v>
      </c>
      <c r="T400" s="8">
        <f t="shared" si="7"/>
        <v>0.1565040650406504</v>
      </c>
    </row>
    <row r="401" spans="1:20" hidden="1" outlineLevel="1" x14ac:dyDescent="0.25">
      <c r="A401" s="137"/>
      <c r="B401" s="136"/>
      <c r="C401" s="136" t="s">
        <v>1129</v>
      </c>
      <c r="D401" s="136" t="s">
        <v>1130</v>
      </c>
      <c r="E401" s="137"/>
      <c r="F401" s="138"/>
      <c r="G401" s="396">
        <v>0.9</v>
      </c>
      <c r="H401" s="258">
        <v>25</v>
      </c>
      <c r="I401" s="159">
        <v>330</v>
      </c>
      <c r="J401" s="254">
        <v>11.8</v>
      </c>
      <c r="K401" s="466"/>
      <c r="L401" s="440"/>
      <c r="M401" s="414">
        <f>G401</f>
        <v>0.9</v>
      </c>
      <c r="N401" s="399"/>
      <c r="O401" s="392" t="e">
        <f t="shared" si="8"/>
        <v>#DIV/0!</v>
      </c>
      <c r="P401" s="405"/>
      <c r="Q401" s="420"/>
      <c r="R401" t="s">
        <v>1128</v>
      </c>
      <c r="T401" s="8">
        <f t="shared" si="7"/>
        <v>6.7073170731707321E-2</v>
      </c>
    </row>
    <row r="402" spans="1:20" hidden="1" outlineLevel="1" x14ac:dyDescent="0.25">
      <c r="A402" s="137"/>
      <c r="B402" s="136"/>
      <c r="C402" s="136" t="s">
        <v>1131</v>
      </c>
      <c r="D402" s="136" t="s">
        <v>1132</v>
      </c>
      <c r="E402" s="137"/>
      <c r="F402" s="138"/>
      <c r="G402" s="158">
        <v>0.8</v>
      </c>
      <c r="H402" s="258">
        <v>22</v>
      </c>
      <c r="I402" s="159">
        <v>1030</v>
      </c>
      <c r="J402" s="254">
        <v>6.2</v>
      </c>
      <c r="K402" s="466"/>
      <c r="L402" s="440"/>
      <c r="M402" s="414"/>
      <c r="N402" s="399"/>
      <c r="O402" s="392" t="e">
        <f t="shared" si="8"/>
        <v>#DIV/0!</v>
      </c>
      <c r="P402" s="405"/>
      <c r="Q402" s="420"/>
      <c r="T402" s="8">
        <f t="shared" ref="T402:T465" si="9">I402/$I$11</f>
        <v>0.20934959349593496</v>
      </c>
    </row>
    <row r="403" spans="1:20" hidden="1" outlineLevel="1" x14ac:dyDescent="0.25">
      <c r="A403" s="137"/>
      <c r="B403" s="136"/>
      <c r="C403" s="136" t="s">
        <v>1133</v>
      </c>
      <c r="D403" s="136" t="s">
        <v>1134</v>
      </c>
      <c r="E403" s="137"/>
      <c r="F403" s="138"/>
      <c r="G403" s="396">
        <v>0.4</v>
      </c>
      <c r="H403" s="258">
        <v>12</v>
      </c>
      <c r="I403" s="159">
        <v>60</v>
      </c>
      <c r="J403" s="254">
        <v>20.2</v>
      </c>
      <c r="K403" s="466"/>
      <c r="L403" s="440"/>
      <c r="M403" s="414">
        <f>G403</f>
        <v>0.4</v>
      </c>
      <c r="N403" s="399"/>
      <c r="O403" s="392" t="e">
        <f t="shared" si="8"/>
        <v>#DIV/0!</v>
      </c>
      <c r="P403" s="405"/>
      <c r="Q403" s="420"/>
      <c r="R403" t="s">
        <v>1128</v>
      </c>
      <c r="T403" s="8">
        <f t="shared" si="9"/>
        <v>1.2195121951219513E-2</v>
      </c>
    </row>
    <row r="404" spans="1:20" hidden="1" outlineLevel="1" x14ac:dyDescent="0.25">
      <c r="A404" s="137"/>
      <c r="B404" s="136"/>
      <c r="C404" s="136" t="s">
        <v>1135</v>
      </c>
      <c r="D404" s="137" t="s">
        <v>1136</v>
      </c>
      <c r="E404" s="137"/>
      <c r="F404" s="138"/>
      <c r="G404" s="158">
        <v>0.1</v>
      </c>
      <c r="H404" s="258">
        <v>3</v>
      </c>
      <c r="I404" s="159">
        <v>210</v>
      </c>
      <c r="J404" s="254">
        <v>12.5</v>
      </c>
      <c r="K404" s="466"/>
      <c r="L404" s="440"/>
      <c r="M404" s="414"/>
      <c r="N404" s="399"/>
      <c r="O404" s="392" t="e">
        <f t="shared" si="8"/>
        <v>#DIV/0!</v>
      </c>
      <c r="P404" s="405"/>
      <c r="Q404" s="420"/>
      <c r="T404" s="8">
        <f t="shared" si="9"/>
        <v>4.2682926829268296E-2</v>
      </c>
    </row>
    <row r="405" spans="1:20" hidden="1" outlineLevel="1" x14ac:dyDescent="0.25">
      <c r="A405" s="155"/>
      <c r="B405" s="155"/>
      <c r="C405" s="135"/>
      <c r="D405" s="249"/>
      <c r="E405" s="249"/>
      <c r="F405" s="249"/>
      <c r="G405" s="158"/>
      <c r="H405" s="349"/>
      <c r="I405" s="172"/>
      <c r="J405" s="271"/>
      <c r="K405" s="466"/>
      <c r="L405" s="440"/>
      <c r="M405" s="414"/>
      <c r="N405" s="399"/>
      <c r="O405" s="515" t="e">
        <f t="shared" si="8"/>
        <v>#DIV/0!</v>
      </c>
      <c r="P405" s="405"/>
      <c r="Q405" s="420"/>
      <c r="T405" s="8">
        <f t="shared" si="9"/>
        <v>0</v>
      </c>
    </row>
    <row r="406" spans="1:20" outlineLevel="1" x14ac:dyDescent="0.25">
      <c r="A406" s="155">
        <v>7.3</v>
      </c>
      <c r="B406" s="196" t="s">
        <v>1137</v>
      </c>
      <c r="C406" s="118"/>
      <c r="D406" s="135"/>
      <c r="E406" s="135"/>
      <c r="F406" s="118"/>
      <c r="G406" s="158">
        <v>17.2</v>
      </c>
      <c r="H406" s="258">
        <v>467</v>
      </c>
      <c r="I406" s="159">
        <v>2230</v>
      </c>
      <c r="J406" s="254">
        <v>3.5</v>
      </c>
      <c r="K406" s="466"/>
      <c r="L406" s="441" t="str">
        <f>B406</f>
        <v>Transport services</v>
      </c>
      <c r="M406" s="538">
        <f>SUBTOTAL(9,M407:M427)</f>
        <v>0</v>
      </c>
      <c r="N406" s="537"/>
      <c r="O406" s="392"/>
      <c r="P406" s="392"/>
      <c r="Q406" s="545" t="s">
        <v>670</v>
      </c>
      <c r="R406" s="116" t="s">
        <v>1138</v>
      </c>
      <c r="T406" s="8">
        <f t="shared" si="9"/>
        <v>0.4532520325203252</v>
      </c>
    </row>
    <row r="407" spans="1:20" hidden="1" outlineLevel="1" x14ac:dyDescent="0.25">
      <c r="A407" s="137"/>
      <c r="B407" s="136" t="s">
        <v>1139</v>
      </c>
      <c r="C407" s="201" t="s">
        <v>1140</v>
      </c>
      <c r="D407" s="137"/>
      <c r="E407" s="137"/>
      <c r="F407" s="138"/>
      <c r="G407" s="158">
        <v>4.0999999999999996</v>
      </c>
      <c r="H407" s="258">
        <v>112</v>
      </c>
      <c r="I407" s="159">
        <v>760</v>
      </c>
      <c r="J407" s="254">
        <v>6</v>
      </c>
      <c r="K407" s="466"/>
      <c r="L407" s="440"/>
      <c r="M407" s="414"/>
      <c r="N407" s="399"/>
      <c r="O407" s="530" t="e">
        <f t="shared" si="8"/>
        <v>#DIV/0!</v>
      </c>
      <c r="P407" s="405"/>
      <c r="Q407" s="420"/>
      <c r="T407" s="8">
        <f t="shared" si="9"/>
        <v>0.15447154471544716</v>
      </c>
    </row>
    <row r="408" spans="1:20" hidden="1" outlineLevel="1" x14ac:dyDescent="0.25">
      <c r="A408" s="137"/>
      <c r="B408" s="136"/>
      <c r="C408" s="136" t="s">
        <v>1141</v>
      </c>
      <c r="D408" s="136" t="s">
        <v>1142</v>
      </c>
      <c r="E408" s="137"/>
      <c r="F408" s="138"/>
      <c r="G408" s="158">
        <v>1.8</v>
      </c>
      <c r="H408" s="258">
        <v>50</v>
      </c>
      <c r="I408" s="159">
        <v>230</v>
      </c>
      <c r="J408" s="254">
        <v>10.4</v>
      </c>
      <c r="K408" s="466"/>
      <c r="L408" s="440"/>
      <c r="M408" s="414"/>
      <c r="N408" s="399"/>
      <c r="O408" s="392" t="e">
        <f t="shared" si="8"/>
        <v>#DIV/0!</v>
      </c>
      <c r="P408" s="405"/>
      <c r="Q408" s="420"/>
      <c r="T408" s="8">
        <f t="shared" si="9"/>
        <v>4.6747967479674794E-2</v>
      </c>
    </row>
    <row r="409" spans="1:20" hidden="1" outlineLevel="1" x14ac:dyDescent="0.25">
      <c r="A409" s="137"/>
      <c r="B409" s="136"/>
      <c r="C409" s="136" t="s">
        <v>1143</v>
      </c>
      <c r="D409" s="136" t="s">
        <v>1144</v>
      </c>
      <c r="E409" s="137"/>
      <c r="F409" s="138"/>
      <c r="G409" s="158">
        <v>2.2999999999999998</v>
      </c>
      <c r="H409" s="258">
        <v>62</v>
      </c>
      <c r="I409" s="159">
        <v>600</v>
      </c>
      <c r="J409" s="254">
        <v>6.1</v>
      </c>
      <c r="K409" s="466"/>
      <c r="L409" s="440"/>
      <c r="M409" s="414"/>
      <c r="N409" s="399"/>
      <c r="O409" s="392" t="e">
        <f t="shared" si="8"/>
        <v>#DIV/0!</v>
      </c>
      <c r="P409" s="405"/>
      <c r="Q409" s="420"/>
      <c r="T409" s="8">
        <f t="shared" si="9"/>
        <v>0.12195121951219512</v>
      </c>
    </row>
    <row r="410" spans="1:20" hidden="1" outlineLevel="1" x14ac:dyDescent="0.25">
      <c r="A410" s="155"/>
      <c r="B410" s="155"/>
      <c r="C410" s="135"/>
      <c r="D410" s="249"/>
      <c r="E410" s="249"/>
      <c r="F410" s="249"/>
      <c r="G410" s="158"/>
      <c r="H410" s="349"/>
      <c r="I410" s="172"/>
      <c r="J410" s="257"/>
      <c r="K410" s="466"/>
      <c r="L410" s="440"/>
      <c r="M410" s="414"/>
      <c r="N410" s="399"/>
      <c r="O410" s="392" t="e">
        <f t="shared" si="8"/>
        <v>#DIV/0!</v>
      </c>
      <c r="P410" s="405"/>
      <c r="Q410" s="420"/>
      <c r="T410" s="8">
        <f t="shared" si="9"/>
        <v>0</v>
      </c>
    </row>
    <row r="411" spans="1:20" hidden="1" outlineLevel="1" x14ac:dyDescent="0.25">
      <c r="A411" s="180"/>
      <c r="B411" s="277" t="s">
        <v>1145</v>
      </c>
      <c r="C411" s="201" t="s">
        <v>1146</v>
      </c>
      <c r="D411" s="137"/>
      <c r="E411" s="137"/>
      <c r="F411" s="138"/>
      <c r="G411" s="158">
        <v>1.3</v>
      </c>
      <c r="H411" s="258">
        <v>37</v>
      </c>
      <c r="I411" s="159">
        <v>720</v>
      </c>
      <c r="J411" s="254">
        <v>6.4</v>
      </c>
      <c r="K411" s="466"/>
      <c r="L411" s="440"/>
      <c r="M411" s="414"/>
      <c r="N411" s="399"/>
      <c r="O411" s="392" t="e">
        <f t="shared" si="8"/>
        <v>#DIV/0!</v>
      </c>
      <c r="P411" s="405"/>
      <c r="Q411" s="420"/>
      <c r="T411" s="8">
        <f t="shared" si="9"/>
        <v>0.14634146341463414</v>
      </c>
    </row>
    <row r="412" spans="1:20" hidden="1" outlineLevel="1" x14ac:dyDescent="0.25">
      <c r="A412" s="128"/>
      <c r="B412" s="136"/>
      <c r="C412" s="136" t="s">
        <v>1147</v>
      </c>
      <c r="D412" s="137" t="s">
        <v>1142</v>
      </c>
      <c r="E412" s="137"/>
      <c r="F412" s="138"/>
      <c r="G412" s="158">
        <v>0.6</v>
      </c>
      <c r="H412" s="258">
        <v>16</v>
      </c>
      <c r="I412" s="159">
        <v>170</v>
      </c>
      <c r="J412" s="254">
        <v>10.9</v>
      </c>
      <c r="K412" s="466"/>
      <c r="L412" s="440"/>
      <c r="M412" s="414"/>
      <c r="N412" s="399"/>
      <c r="O412" s="392" t="e">
        <f t="shared" si="8"/>
        <v>#DIV/0!</v>
      </c>
      <c r="P412" s="405"/>
      <c r="Q412" s="420"/>
      <c r="T412" s="8">
        <f t="shared" si="9"/>
        <v>3.4552845528455285E-2</v>
      </c>
    </row>
    <row r="413" spans="1:20" hidden="1" outlineLevel="1" x14ac:dyDescent="0.25">
      <c r="A413" s="180"/>
      <c r="B413" s="136"/>
      <c r="C413" s="136" t="s">
        <v>1148</v>
      </c>
      <c r="D413" s="137" t="s">
        <v>1144</v>
      </c>
      <c r="E413" s="137"/>
      <c r="F413" s="138"/>
      <c r="G413" s="158">
        <v>0.7</v>
      </c>
      <c r="H413" s="258">
        <v>20</v>
      </c>
      <c r="I413" s="159">
        <v>600</v>
      </c>
      <c r="J413" s="254">
        <v>6.5</v>
      </c>
      <c r="K413" s="466"/>
      <c r="L413" s="440"/>
      <c r="M413" s="414"/>
      <c r="N413" s="399"/>
      <c r="O413" s="392" t="e">
        <f t="shared" si="8"/>
        <v>#DIV/0!</v>
      </c>
      <c r="P413" s="405"/>
      <c r="Q413" s="420"/>
      <c r="T413" s="8">
        <f t="shared" si="9"/>
        <v>0.12195121951219512</v>
      </c>
    </row>
    <row r="414" spans="1:20" hidden="1" outlineLevel="1" x14ac:dyDescent="0.25">
      <c r="A414" s="155"/>
      <c r="B414" s="196"/>
      <c r="C414" s="137"/>
      <c r="D414" s="135"/>
      <c r="E414" s="135"/>
      <c r="F414" s="249"/>
      <c r="G414" s="158"/>
      <c r="H414" s="258"/>
      <c r="I414" s="159"/>
      <c r="J414" s="257"/>
      <c r="K414" s="466"/>
      <c r="L414" s="440"/>
      <c r="M414" s="414"/>
      <c r="N414" s="399"/>
      <c r="O414" s="392" t="e">
        <f t="shared" si="8"/>
        <v>#DIV/0!</v>
      </c>
      <c r="P414" s="405"/>
      <c r="Q414" s="420"/>
      <c r="T414" s="8">
        <f t="shared" si="9"/>
        <v>0</v>
      </c>
    </row>
    <row r="415" spans="1:20" hidden="1" outlineLevel="1" x14ac:dyDescent="0.25">
      <c r="A415" s="135"/>
      <c r="B415" s="136" t="s">
        <v>1149</v>
      </c>
      <c r="C415" s="136" t="s">
        <v>1150</v>
      </c>
      <c r="D415" s="200"/>
      <c r="E415" s="137"/>
      <c r="F415" s="138"/>
      <c r="G415" s="158">
        <v>0.7</v>
      </c>
      <c r="H415" s="258">
        <v>19</v>
      </c>
      <c r="I415" s="159">
        <v>90</v>
      </c>
      <c r="J415" s="254">
        <v>15.6</v>
      </c>
      <c r="K415" s="466"/>
      <c r="L415" s="440"/>
      <c r="M415" s="414"/>
      <c r="N415" s="399"/>
      <c r="O415" s="392" t="e">
        <f t="shared" si="8"/>
        <v>#DIV/0!</v>
      </c>
      <c r="P415" s="405"/>
      <c r="Q415" s="420"/>
      <c r="T415" s="8">
        <f t="shared" si="9"/>
        <v>1.8292682926829267E-2</v>
      </c>
    </row>
    <row r="416" spans="1:20" hidden="1" outlineLevel="1" x14ac:dyDescent="0.25">
      <c r="A416" s="137"/>
      <c r="B416" s="136"/>
      <c r="C416" s="201" t="s">
        <v>1151</v>
      </c>
      <c r="D416" s="136" t="s">
        <v>1152</v>
      </c>
      <c r="E416" s="137"/>
      <c r="F416" s="138"/>
      <c r="G416" s="158">
        <v>0.1</v>
      </c>
      <c r="H416" s="258">
        <v>3</v>
      </c>
      <c r="I416" s="159">
        <v>30</v>
      </c>
      <c r="J416" s="254">
        <v>28.7</v>
      </c>
      <c r="K416" s="466"/>
      <c r="L416" s="440"/>
      <c r="M416" s="414"/>
      <c r="N416" s="399"/>
      <c r="O416" s="392" t="e">
        <f t="shared" si="8"/>
        <v>#DIV/0!</v>
      </c>
      <c r="P416" s="405"/>
      <c r="Q416" s="420"/>
      <c r="T416" s="8">
        <f t="shared" si="9"/>
        <v>6.0975609756097563E-3</v>
      </c>
    </row>
    <row r="417" spans="1:20" hidden="1" outlineLevel="1" x14ac:dyDescent="0.25">
      <c r="A417" s="137"/>
      <c r="B417" s="136"/>
      <c r="C417" s="201" t="s">
        <v>1153</v>
      </c>
      <c r="D417" s="136" t="s">
        <v>1154</v>
      </c>
      <c r="E417" s="137"/>
      <c r="F417" s="138"/>
      <c r="G417" s="158">
        <v>0.6</v>
      </c>
      <c r="H417" s="258">
        <v>16</v>
      </c>
      <c r="I417" s="159">
        <v>60</v>
      </c>
      <c r="J417" s="254">
        <v>18.899999999999999</v>
      </c>
      <c r="K417" s="472"/>
      <c r="L417" s="442"/>
      <c r="M417" s="414"/>
      <c r="N417" s="399"/>
      <c r="O417" s="392" t="e">
        <f t="shared" si="8"/>
        <v>#DIV/0!</v>
      </c>
      <c r="P417" s="405"/>
      <c r="Q417" s="420"/>
      <c r="T417" s="8">
        <f t="shared" si="9"/>
        <v>1.2195121951219513E-2</v>
      </c>
    </row>
    <row r="418" spans="1:20" hidden="1" outlineLevel="1" x14ac:dyDescent="0.25">
      <c r="A418" s="137"/>
      <c r="B418" s="137"/>
      <c r="C418" s="137"/>
      <c r="D418" s="137"/>
      <c r="E418" s="137"/>
      <c r="F418" s="137"/>
      <c r="G418" s="158"/>
      <c r="H418" s="349"/>
      <c r="I418" s="135"/>
      <c r="J418" s="257"/>
      <c r="K418" s="472"/>
      <c r="L418" s="442"/>
      <c r="M418" s="414"/>
      <c r="N418" s="399"/>
      <c r="O418" s="392" t="e">
        <f t="shared" si="8"/>
        <v>#DIV/0!</v>
      </c>
      <c r="P418" s="405"/>
      <c r="Q418" s="420"/>
      <c r="T418" s="8">
        <f t="shared" si="9"/>
        <v>0</v>
      </c>
    </row>
    <row r="419" spans="1:20" hidden="1" outlineLevel="1" x14ac:dyDescent="0.25">
      <c r="A419" s="136"/>
      <c r="B419" s="136" t="s">
        <v>1155</v>
      </c>
      <c r="C419" s="201" t="s">
        <v>1156</v>
      </c>
      <c r="D419" s="200"/>
      <c r="E419" s="137"/>
      <c r="F419" s="138"/>
      <c r="G419" s="396">
        <v>11</v>
      </c>
      <c r="H419" s="258">
        <v>300</v>
      </c>
      <c r="I419" s="159">
        <v>1480</v>
      </c>
      <c r="J419" s="254">
        <v>3.7</v>
      </c>
      <c r="K419" s="472"/>
      <c r="L419" s="442"/>
      <c r="M419" s="414">
        <f>G419-G422</f>
        <v>10.9</v>
      </c>
      <c r="N419" s="399"/>
      <c r="O419" s="392" t="e">
        <f t="shared" si="8"/>
        <v>#DIV/0!</v>
      </c>
      <c r="P419" s="405"/>
      <c r="Q419" s="420" t="s">
        <v>1157</v>
      </c>
      <c r="R419" t="s">
        <v>1158</v>
      </c>
      <c r="T419" s="8">
        <f t="shared" si="9"/>
        <v>0.30081300813008133</v>
      </c>
    </row>
    <row r="420" spans="1:20" hidden="1" outlineLevel="1" x14ac:dyDescent="0.25">
      <c r="A420" s="137"/>
      <c r="B420" s="136"/>
      <c r="C420" s="136" t="s">
        <v>1159</v>
      </c>
      <c r="D420" s="137" t="s">
        <v>1160</v>
      </c>
      <c r="E420" s="137"/>
      <c r="F420" s="138"/>
      <c r="G420" s="158">
        <v>0.3</v>
      </c>
      <c r="H420" s="258">
        <v>8</v>
      </c>
      <c r="I420" s="159">
        <v>90</v>
      </c>
      <c r="J420" s="254">
        <v>21</v>
      </c>
      <c r="K420" s="472"/>
      <c r="L420" s="442"/>
      <c r="M420" s="414"/>
      <c r="N420" s="399"/>
      <c r="O420" s="392" t="e">
        <f t="shared" si="8"/>
        <v>#DIV/0!</v>
      </c>
      <c r="P420" s="405"/>
      <c r="Q420" s="420"/>
      <c r="T420" s="8">
        <f t="shared" si="9"/>
        <v>1.8292682926829267E-2</v>
      </c>
    </row>
    <row r="421" spans="1:20" hidden="1" outlineLevel="1" x14ac:dyDescent="0.25">
      <c r="A421" s="137"/>
      <c r="B421" s="136"/>
      <c r="C421" s="136" t="s">
        <v>1161</v>
      </c>
      <c r="D421" s="137" t="s">
        <v>1162</v>
      </c>
      <c r="E421" s="137"/>
      <c r="F421" s="138"/>
      <c r="G421" s="158">
        <v>6.2</v>
      </c>
      <c r="H421" s="258">
        <v>169</v>
      </c>
      <c r="I421" s="159">
        <v>520</v>
      </c>
      <c r="J421" s="254">
        <v>5</v>
      </c>
      <c r="K421" s="473"/>
      <c r="L421" s="443"/>
      <c r="M421" s="414"/>
      <c r="N421" s="399"/>
      <c r="O421" s="392" t="e">
        <f t="shared" si="8"/>
        <v>#DIV/0!</v>
      </c>
      <c r="P421" s="405"/>
      <c r="Q421" s="420"/>
      <c r="T421" s="8">
        <f t="shared" si="9"/>
        <v>0.10569105691056911</v>
      </c>
    </row>
    <row r="422" spans="1:20" hidden="1" outlineLevel="1" x14ac:dyDescent="0.25">
      <c r="A422" s="137"/>
      <c r="B422" s="200"/>
      <c r="C422" s="201" t="s">
        <v>1163</v>
      </c>
      <c r="D422" s="137" t="s">
        <v>1164</v>
      </c>
      <c r="E422" s="137"/>
      <c r="F422" s="138"/>
      <c r="G422" s="376">
        <v>0.1</v>
      </c>
      <c r="H422" s="375">
        <v>2</v>
      </c>
      <c r="I422" s="159">
        <v>20</v>
      </c>
      <c r="J422" s="254">
        <v>69.900000000000006</v>
      </c>
      <c r="K422" s="473"/>
      <c r="L422" s="443"/>
      <c r="M422" s="414"/>
      <c r="N422" s="399"/>
      <c r="O422" s="392" t="e">
        <f t="shared" si="8"/>
        <v>#DIV/0!</v>
      </c>
      <c r="P422" s="405"/>
      <c r="Q422" s="420"/>
      <c r="T422" s="8">
        <f t="shared" si="9"/>
        <v>4.0650406504065045E-3</v>
      </c>
    </row>
    <row r="423" spans="1:20" hidden="1" outlineLevel="1" x14ac:dyDescent="0.25">
      <c r="A423" s="137"/>
      <c r="B423" s="200"/>
      <c r="C423" s="201" t="s">
        <v>1165</v>
      </c>
      <c r="D423" s="136" t="s">
        <v>1166</v>
      </c>
      <c r="E423" s="137"/>
      <c r="F423" s="138"/>
      <c r="G423" s="158">
        <v>1.1000000000000001</v>
      </c>
      <c r="H423" s="258">
        <v>30</v>
      </c>
      <c r="I423" s="159">
        <v>530</v>
      </c>
      <c r="J423" s="254">
        <v>6.3</v>
      </c>
      <c r="K423" s="473"/>
      <c r="L423" s="443"/>
      <c r="M423" s="414"/>
      <c r="N423" s="399"/>
      <c r="O423" s="392" t="e">
        <f t="shared" si="8"/>
        <v>#DIV/0!</v>
      </c>
      <c r="P423" s="405"/>
      <c r="Q423" s="420"/>
      <c r="T423" s="8">
        <f t="shared" si="9"/>
        <v>0.10772357723577236</v>
      </c>
    </row>
    <row r="424" spans="1:20" hidden="1" outlineLevel="1" x14ac:dyDescent="0.25">
      <c r="A424" s="137"/>
      <c r="B424" s="136"/>
      <c r="C424" s="136" t="s">
        <v>1167</v>
      </c>
      <c r="D424" s="136" t="s">
        <v>1168</v>
      </c>
      <c r="E424" s="137"/>
      <c r="F424" s="138"/>
      <c r="G424" s="158">
        <v>0.3</v>
      </c>
      <c r="H424" s="258">
        <v>7</v>
      </c>
      <c r="I424" s="159">
        <v>300</v>
      </c>
      <c r="J424" s="254">
        <v>17.3</v>
      </c>
      <c r="K424" s="473"/>
      <c r="L424" s="443"/>
      <c r="M424" s="414"/>
      <c r="N424" s="399"/>
      <c r="O424" s="392" t="e">
        <f t="shared" si="8"/>
        <v>#DIV/0!</v>
      </c>
      <c r="P424" s="405"/>
      <c r="Q424" s="420"/>
      <c r="T424" s="8">
        <f t="shared" si="9"/>
        <v>6.097560975609756E-2</v>
      </c>
    </row>
    <row r="425" spans="1:20" hidden="1" outlineLevel="1" x14ac:dyDescent="0.25">
      <c r="A425" s="137"/>
      <c r="B425" s="136"/>
      <c r="C425" s="136" t="s">
        <v>1169</v>
      </c>
      <c r="D425" s="136" t="s">
        <v>1170</v>
      </c>
      <c r="E425" s="137"/>
      <c r="F425" s="138"/>
      <c r="G425" s="158">
        <v>0.2</v>
      </c>
      <c r="H425" s="258">
        <v>5</v>
      </c>
      <c r="I425" s="159">
        <v>30</v>
      </c>
      <c r="J425" s="254">
        <v>24.9</v>
      </c>
      <c r="K425" s="473"/>
      <c r="L425" s="443"/>
      <c r="M425" s="414"/>
      <c r="N425" s="399"/>
      <c r="O425" s="392" t="e">
        <f t="shared" si="8"/>
        <v>#DIV/0!</v>
      </c>
      <c r="P425" s="405"/>
      <c r="Q425" s="420"/>
      <c r="T425" s="8">
        <f t="shared" si="9"/>
        <v>6.0975609756097563E-3</v>
      </c>
    </row>
    <row r="426" spans="1:20" hidden="1" outlineLevel="1" x14ac:dyDescent="0.25">
      <c r="A426" s="136"/>
      <c r="B426" s="137"/>
      <c r="C426" s="136" t="s">
        <v>1171</v>
      </c>
      <c r="D426" s="136" t="s">
        <v>1172</v>
      </c>
      <c r="E426" s="137"/>
      <c r="F426" s="138"/>
      <c r="G426" s="158">
        <v>2.6</v>
      </c>
      <c r="H426" s="258">
        <v>70</v>
      </c>
      <c r="I426" s="159">
        <v>240</v>
      </c>
      <c r="J426" s="254">
        <v>7.2</v>
      </c>
      <c r="K426" s="473"/>
      <c r="L426" s="443"/>
      <c r="M426" s="414"/>
      <c r="N426" s="399"/>
      <c r="O426" s="392" t="e">
        <f t="shared" si="8"/>
        <v>#DIV/0!</v>
      </c>
      <c r="P426" s="405"/>
      <c r="Q426" s="420"/>
      <c r="T426" s="8">
        <f t="shared" si="9"/>
        <v>4.878048780487805E-2</v>
      </c>
    </row>
    <row r="427" spans="1:20" hidden="1" outlineLevel="1" x14ac:dyDescent="0.25">
      <c r="A427" s="136"/>
      <c r="B427" s="137"/>
      <c r="C427" s="136" t="s">
        <v>1173</v>
      </c>
      <c r="D427" s="136" t="s">
        <v>1174</v>
      </c>
      <c r="E427" s="137"/>
      <c r="F427" s="138"/>
      <c r="G427" s="158">
        <v>0.3</v>
      </c>
      <c r="H427" s="258">
        <v>8</v>
      </c>
      <c r="I427" s="159">
        <v>50</v>
      </c>
      <c r="J427" s="254">
        <v>29.4</v>
      </c>
      <c r="K427" s="473"/>
      <c r="L427" s="443"/>
      <c r="M427" s="414"/>
      <c r="N427" s="399"/>
      <c r="O427" s="392" t="e">
        <f t="shared" si="8"/>
        <v>#DIV/0!</v>
      </c>
      <c r="P427" s="405"/>
      <c r="Q427" s="420"/>
      <c r="T427" s="8">
        <f t="shared" si="9"/>
        <v>1.016260162601626E-2</v>
      </c>
    </row>
    <row r="428" spans="1:20" hidden="1" outlineLevel="1" x14ac:dyDescent="0.25">
      <c r="A428" s="214"/>
      <c r="B428" s="214"/>
      <c r="C428" s="214"/>
      <c r="D428" s="214"/>
      <c r="E428" s="214"/>
      <c r="F428" s="214"/>
      <c r="G428" s="278"/>
      <c r="H428" s="344"/>
      <c r="I428" s="214"/>
      <c r="J428" s="329"/>
      <c r="K428" s="473"/>
      <c r="L428" s="443"/>
      <c r="M428" s="490"/>
      <c r="N428" s="399"/>
      <c r="O428" s="392" t="e">
        <f t="shared" si="8"/>
        <v>#DIV/0!</v>
      </c>
      <c r="P428" s="405"/>
      <c r="Q428" s="420"/>
      <c r="T428" s="8">
        <f t="shared" si="9"/>
        <v>0</v>
      </c>
    </row>
    <row r="429" spans="1:20" hidden="1" outlineLevel="1" x14ac:dyDescent="0.25">
      <c r="A429" s="137"/>
      <c r="B429" s="136"/>
      <c r="C429" s="201"/>
      <c r="D429" s="211"/>
      <c r="E429" s="137"/>
      <c r="F429" s="138"/>
      <c r="G429" s="217"/>
      <c r="H429" s="361"/>
      <c r="I429" s="218"/>
      <c r="J429" s="137"/>
      <c r="K429" s="473"/>
      <c r="L429" s="443"/>
      <c r="M429" s="490"/>
      <c r="N429" s="399"/>
      <c r="O429" s="392" t="e">
        <f t="shared" si="8"/>
        <v>#DIV/0!</v>
      </c>
      <c r="P429" s="405"/>
      <c r="Q429" s="420"/>
      <c r="T429" s="8">
        <f t="shared" si="9"/>
        <v>0</v>
      </c>
    </row>
    <row r="430" spans="1:20" hidden="1" outlineLevel="1" x14ac:dyDescent="0.25">
      <c r="A430" s="43" t="s">
        <v>775</v>
      </c>
      <c r="B430" s="200"/>
      <c r="C430" s="136"/>
      <c r="D430" s="137"/>
      <c r="E430" s="202"/>
      <c r="F430" s="204"/>
      <c r="G430" s="217"/>
      <c r="H430" s="361"/>
      <c r="I430" s="218"/>
      <c r="J430" s="137"/>
      <c r="K430" s="473"/>
      <c r="L430" s="443"/>
      <c r="M430" s="490"/>
      <c r="N430" s="399"/>
      <c r="O430" s="392" t="e">
        <f t="shared" ref="O430:O470" si="10">M430/N430</f>
        <v>#DIV/0!</v>
      </c>
      <c r="P430" s="405"/>
      <c r="Q430" s="420"/>
      <c r="T430" s="8">
        <f t="shared" si="9"/>
        <v>0</v>
      </c>
    </row>
    <row r="431" spans="1:20" hidden="1" outlineLevel="1" x14ac:dyDescent="0.25">
      <c r="A431" s="43" t="s">
        <v>776</v>
      </c>
      <c r="B431" s="200"/>
      <c r="C431" s="136"/>
      <c r="D431" s="137"/>
      <c r="E431" s="202"/>
      <c r="F431" s="204"/>
      <c r="G431" s="217"/>
      <c r="H431" s="361"/>
      <c r="I431" s="218"/>
      <c r="J431" s="137"/>
      <c r="K431" s="473"/>
      <c r="L431" s="443"/>
      <c r="M431" s="490"/>
      <c r="N431" s="399"/>
      <c r="O431" s="392" t="e">
        <f t="shared" si="10"/>
        <v>#DIV/0!</v>
      </c>
      <c r="P431" s="405"/>
      <c r="Q431" s="420"/>
      <c r="T431" s="8">
        <f t="shared" si="9"/>
        <v>0</v>
      </c>
    </row>
    <row r="432" spans="1:20" hidden="1" outlineLevel="1" x14ac:dyDescent="0.25">
      <c r="A432" s="43" t="s">
        <v>613</v>
      </c>
      <c r="B432" s="200"/>
      <c r="C432" s="136"/>
      <c r="D432" s="137"/>
      <c r="E432" s="202"/>
      <c r="F432" s="204"/>
      <c r="G432" s="217"/>
      <c r="H432" s="361"/>
      <c r="I432" s="218"/>
      <c r="J432" s="137"/>
      <c r="K432" s="473"/>
      <c r="L432" s="443"/>
      <c r="M432" s="490"/>
      <c r="N432" s="399"/>
      <c r="O432" s="392" t="e">
        <f t="shared" si="10"/>
        <v>#DIV/0!</v>
      </c>
      <c r="P432" s="405"/>
      <c r="Q432" s="420"/>
      <c r="T432" s="8">
        <f t="shared" si="9"/>
        <v>0</v>
      </c>
    </row>
    <row r="433" spans="1:20" hidden="1" outlineLevel="1" x14ac:dyDescent="0.25">
      <c r="A433" s="43"/>
      <c r="B433" s="136"/>
      <c r="C433" s="201"/>
      <c r="D433" s="211"/>
      <c r="E433" s="137"/>
      <c r="F433" s="138"/>
      <c r="G433" s="217"/>
      <c r="H433" s="361"/>
      <c r="I433" s="218"/>
      <c r="J433" s="137"/>
      <c r="K433" s="473"/>
      <c r="L433" s="443"/>
      <c r="M433" s="490"/>
      <c r="N433" s="399"/>
      <c r="O433" s="392" t="e">
        <f t="shared" si="10"/>
        <v>#DIV/0!</v>
      </c>
      <c r="P433" s="405"/>
      <c r="Q433" s="420"/>
      <c r="T433" s="8">
        <f t="shared" si="9"/>
        <v>0</v>
      </c>
    </row>
    <row r="434" spans="1:20" hidden="1" outlineLevel="1" x14ac:dyDescent="0.25">
      <c r="A434" s="137"/>
      <c r="B434" s="136"/>
      <c r="C434" s="201"/>
      <c r="D434" s="211"/>
      <c r="E434" s="137"/>
      <c r="F434" s="138"/>
      <c r="G434" s="217"/>
      <c r="H434" s="361"/>
      <c r="I434" s="218"/>
      <c r="J434" s="137"/>
      <c r="K434" s="473"/>
      <c r="L434" s="443"/>
      <c r="N434" s="399"/>
      <c r="O434" s="392" t="e">
        <f t="shared" si="10"/>
        <v>#DIV/0!</v>
      </c>
      <c r="P434" s="405"/>
      <c r="Q434" s="420"/>
      <c r="T434" s="8">
        <f t="shared" si="9"/>
        <v>0</v>
      </c>
    </row>
    <row r="435" spans="1:20" hidden="1" outlineLevel="1" x14ac:dyDescent="0.25">
      <c r="A435" s="220"/>
      <c r="B435" s="137"/>
      <c r="C435" s="137"/>
      <c r="D435" s="137"/>
      <c r="E435" s="137"/>
      <c r="F435" s="137"/>
      <c r="G435" s="139"/>
      <c r="H435" s="362"/>
      <c r="I435" s="137"/>
      <c r="J435" s="137"/>
      <c r="K435" s="473"/>
      <c r="L435" s="443"/>
      <c r="N435" s="399"/>
      <c r="O435" s="392" t="e">
        <f t="shared" si="10"/>
        <v>#DIV/0!</v>
      </c>
      <c r="P435" s="405"/>
      <c r="Q435" s="420"/>
      <c r="T435" s="8">
        <f t="shared" si="9"/>
        <v>0</v>
      </c>
    </row>
    <row r="436" spans="1:20" hidden="1" outlineLevel="1" x14ac:dyDescent="0.25">
      <c r="A436" s="136"/>
      <c r="B436" s="137"/>
      <c r="C436" s="137"/>
      <c r="D436" s="137"/>
      <c r="E436" s="137"/>
      <c r="F436" s="137"/>
      <c r="G436" s="139"/>
      <c r="H436" s="362"/>
      <c r="I436" s="137"/>
      <c r="J436" s="137"/>
      <c r="K436" s="473"/>
      <c r="L436" s="443"/>
      <c r="N436" s="399"/>
      <c r="O436" s="392" t="e">
        <f t="shared" si="10"/>
        <v>#DIV/0!</v>
      </c>
      <c r="P436" s="405"/>
      <c r="Q436" s="420"/>
      <c r="T436" s="8">
        <f t="shared" si="9"/>
        <v>0</v>
      </c>
    </row>
    <row r="437" spans="1:20" hidden="1" outlineLevel="1" x14ac:dyDescent="0.25">
      <c r="A437" s="136"/>
      <c r="B437" s="137"/>
      <c r="C437" s="137"/>
      <c r="D437" s="137"/>
      <c r="E437" s="137"/>
      <c r="F437" s="137"/>
      <c r="G437" s="139"/>
      <c r="H437" s="362"/>
      <c r="I437" s="137"/>
      <c r="J437" s="137"/>
      <c r="K437" s="474"/>
      <c r="L437" s="444"/>
      <c r="N437" s="399"/>
      <c r="O437" s="392" t="e">
        <f t="shared" si="10"/>
        <v>#DIV/0!</v>
      </c>
      <c r="P437" s="405"/>
      <c r="Q437" s="420"/>
      <c r="T437" s="8">
        <f t="shared" si="9"/>
        <v>0</v>
      </c>
    </row>
    <row r="438" spans="1:20" hidden="1" outlineLevel="1" x14ac:dyDescent="0.25">
      <c r="A438" s="137"/>
      <c r="B438" s="137"/>
      <c r="C438" s="137"/>
      <c r="D438" s="137"/>
      <c r="E438" s="137"/>
      <c r="F438" s="137"/>
      <c r="G438" s="139"/>
      <c r="H438" s="362"/>
      <c r="I438" s="137"/>
      <c r="J438" s="137"/>
      <c r="K438" s="474"/>
      <c r="L438" s="444"/>
      <c r="N438" s="399"/>
      <c r="O438" s="392" t="e">
        <f t="shared" si="10"/>
        <v>#DIV/0!</v>
      </c>
      <c r="P438" s="405"/>
      <c r="Q438" s="420"/>
      <c r="T438" s="8">
        <f t="shared" si="9"/>
        <v>0</v>
      </c>
    </row>
    <row r="439" spans="1:20" ht="15.75" hidden="1" outlineLevel="1" x14ac:dyDescent="0.25">
      <c r="A439" s="334" t="s">
        <v>648</v>
      </c>
      <c r="B439" s="137"/>
      <c r="C439" s="137"/>
      <c r="D439" s="137"/>
      <c r="E439" s="137"/>
      <c r="F439" s="137"/>
      <c r="G439" s="139"/>
      <c r="H439" s="362"/>
      <c r="I439" s="137"/>
      <c r="J439" s="137"/>
      <c r="K439" s="474"/>
      <c r="L439" s="444"/>
      <c r="N439" s="399"/>
      <c r="O439" s="392" t="e">
        <f t="shared" si="10"/>
        <v>#DIV/0!</v>
      </c>
      <c r="P439" s="405"/>
      <c r="Q439" s="420"/>
      <c r="T439" s="8">
        <f t="shared" si="9"/>
        <v>0</v>
      </c>
    </row>
    <row r="440" spans="1:20" ht="35.25" hidden="1" outlineLevel="1" x14ac:dyDescent="0.25">
      <c r="A440" s="103" t="s">
        <v>777</v>
      </c>
      <c r="B440" s="119"/>
      <c r="C440" s="126"/>
      <c r="D440" s="121"/>
      <c r="E440" s="121"/>
      <c r="F440" s="122"/>
      <c r="G440" s="123"/>
      <c r="H440" s="343"/>
      <c r="I440" s="124"/>
      <c r="J440" s="223"/>
      <c r="K440" s="474"/>
      <c r="L440" s="444"/>
      <c r="N440" s="399"/>
      <c r="O440" s="392" t="e">
        <f t="shared" si="10"/>
        <v>#DIV/0!</v>
      </c>
      <c r="P440" s="405"/>
      <c r="Q440" s="420"/>
      <c r="T440" s="8">
        <f t="shared" si="9"/>
        <v>0</v>
      </c>
    </row>
    <row r="441" spans="1:20" hidden="1" outlineLevel="1" x14ac:dyDescent="0.25">
      <c r="A441" s="339" t="s">
        <v>643</v>
      </c>
      <c r="B441" s="128"/>
      <c r="C441" s="231"/>
      <c r="D441" s="342"/>
      <c r="E441" s="249"/>
      <c r="F441" s="249"/>
      <c r="G441" s="171"/>
      <c r="H441" s="349"/>
      <c r="I441" s="172"/>
      <c r="J441" s="271"/>
      <c r="K441" s="475"/>
      <c r="L441" s="445"/>
      <c r="N441" s="399"/>
      <c r="O441" s="392" t="e">
        <f t="shared" si="10"/>
        <v>#DIV/0!</v>
      </c>
      <c r="P441" s="405"/>
      <c r="Q441" s="420"/>
      <c r="T441" s="8">
        <f t="shared" si="9"/>
        <v>0</v>
      </c>
    </row>
    <row r="442" spans="1:20" ht="15.75" hidden="1" outlineLevel="1" x14ac:dyDescent="0.25">
      <c r="A442" s="335"/>
      <c r="B442" s="129"/>
      <c r="C442" s="130"/>
      <c r="D442" s="131"/>
      <c r="E442" s="131"/>
      <c r="F442" s="131"/>
      <c r="G442" s="132"/>
      <c r="H442" s="348"/>
      <c r="I442" s="133"/>
      <c r="J442" s="134"/>
      <c r="K442" s="475"/>
      <c r="L442" s="445"/>
      <c r="N442" s="399"/>
      <c r="O442" s="392" t="e">
        <f t="shared" si="10"/>
        <v>#DIV/0!</v>
      </c>
      <c r="P442" s="405"/>
      <c r="Q442" s="420"/>
      <c r="T442" s="8">
        <f t="shared" si="9"/>
        <v>0</v>
      </c>
    </row>
    <row r="443" spans="1:20" hidden="1" outlineLevel="1" x14ac:dyDescent="0.25">
      <c r="A443" s="128"/>
      <c r="B443" s="128"/>
      <c r="C443" s="137"/>
      <c r="D443" s="138"/>
      <c r="E443" s="138"/>
      <c r="F443" s="138"/>
      <c r="G443" s="139"/>
      <c r="H443" s="362"/>
      <c r="I443" s="140"/>
      <c r="J443" s="141"/>
      <c r="K443" s="475"/>
      <c r="L443" s="445"/>
      <c r="N443" s="399"/>
      <c r="O443" s="392" t="e">
        <f t="shared" si="10"/>
        <v>#DIV/0!</v>
      </c>
      <c r="P443" s="405"/>
      <c r="Q443" s="420"/>
      <c r="T443" s="8">
        <f t="shared" si="9"/>
        <v>0</v>
      </c>
    </row>
    <row r="444" spans="1:20" hidden="1" outlineLevel="1" x14ac:dyDescent="0.25">
      <c r="A444" s="224"/>
      <c r="B444" s="224"/>
      <c r="C444" s="225"/>
      <c r="D444" s="226"/>
      <c r="E444" s="226"/>
      <c r="F444" s="144"/>
      <c r="G444" s="145" t="s">
        <v>650</v>
      </c>
      <c r="H444" s="345" t="s">
        <v>284</v>
      </c>
      <c r="I444" s="146" t="s">
        <v>651</v>
      </c>
      <c r="J444" s="147" t="s">
        <v>652</v>
      </c>
      <c r="K444" s="475"/>
      <c r="L444" s="445"/>
      <c r="N444" s="399"/>
      <c r="O444" s="392" t="e">
        <f t="shared" si="10"/>
        <v>#DIV/0!</v>
      </c>
      <c r="P444" s="405"/>
      <c r="Q444" s="420"/>
      <c r="T444" s="8" t="e">
        <f t="shared" si="9"/>
        <v>#VALUE!</v>
      </c>
    </row>
    <row r="445" spans="1:20" hidden="1" outlineLevel="1" x14ac:dyDescent="0.25">
      <c r="A445" s="224"/>
      <c r="B445" s="224"/>
      <c r="C445" s="227"/>
      <c r="D445" s="226"/>
      <c r="E445" s="226"/>
      <c r="F445" s="144"/>
      <c r="G445" s="149" t="s">
        <v>653</v>
      </c>
      <c r="H445" s="345" t="s">
        <v>654</v>
      </c>
      <c r="I445" s="146" t="s">
        <v>655</v>
      </c>
      <c r="J445" s="147" t="s">
        <v>656</v>
      </c>
      <c r="K445" s="475"/>
      <c r="L445" s="445"/>
      <c r="N445" s="399"/>
      <c r="O445" s="392" t="e">
        <f t="shared" si="10"/>
        <v>#DIV/0!</v>
      </c>
      <c r="P445" s="405"/>
      <c r="Q445" s="420"/>
      <c r="T445" s="8" t="e">
        <f t="shared" si="9"/>
        <v>#VALUE!</v>
      </c>
    </row>
    <row r="446" spans="1:20" hidden="1" outlineLevel="1" x14ac:dyDescent="0.25">
      <c r="A446" s="224"/>
      <c r="B446" s="224"/>
      <c r="C446" s="227"/>
      <c r="D446" s="226"/>
      <c r="E446" s="226"/>
      <c r="F446" s="144"/>
      <c r="G446" s="145" t="s">
        <v>657</v>
      </c>
      <c r="H446" s="345" t="s">
        <v>653</v>
      </c>
      <c r="I446" s="146" t="s">
        <v>658</v>
      </c>
      <c r="J446" s="151" t="s">
        <v>659</v>
      </c>
      <c r="K446" s="475"/>
      <c r="L446" s="445"/>
      <c r="N446" s="399"/>
      <c r="O446" s="392" t="e">
        <f t="shared" si="10"/>
        <v>#DIV/0!</v>
      </c>
      <c r="P446" s="405"/>
      <c r="Q446" s="420"/>
      <c r="T446" s="8" t="e">
        <f t="shared" si="9"/>
        <v>#VALUE!</v>
      </c>
    </row>
    <row r="447" spans="1:20" hidden="1" outlineLevel="1" x14ac:dyDescent="0.25">
      <c r="A447" s="224"/>
      <c r="B447" s="224"/>
      <c r="C447" s="227"/>
      <c r="D447" s="226"/>
      <c r="E447" s="226"/>
      <c r="F447" s="144"/>
      <c r="G447" s="149" t="s">
        <v>660</v>
      </c>
      <c r="H447" s="345" t="s">
        <v>661</v>
      </c>
      <c r="I447" s="146" t="s">
        <v>662</v>
      </c>
      <c r="J447" s="152" t="s">
        <v>663</v>
      </c>
      <c r="K447" s="475"/>
      <c r="L447" s="445"/>
      <c r="N447" s="399"/>
      <c r="O447" s="392" t="e">
        <f t="shared" si="10"/>
        <v>#DIV/0!</v>
      </c>
      <c r="P447" s="405"/>
      <c r="Q447" s="420"/>
      <c r="T447" s="8" t="e">
        <f t="shared" si="9"/>
        <v>#VALUE!</v>
      </c>
    </row>
    <row r="448" spans="1:20" hidden="1" outlineLevel="1" x14ac:dyDescent="0.25">
      <c r="A448" s="129"/>
      <c r="B448" s="129"/>
      <c r="C448" s="130"/>
      <c r="D448" s="131"/>
      <c r="E448" s="131"/>
      <c r="F448" s="131"/>
      <c r="G448" s="132"/>
      <c r="H448" s="348"/>
      <c r="I448" s="133"/>
      <c r="J448" s="131"/>
      <c r="K448" s="475"/>
      <c r="L448" s="445"/>
      <c r="N448" s="399"/>
      <c r="O448" s="392" t="e">
        <f t="shared" si="10"/>
        <v>#DIV/0!</v>
      </c>
      <c r="P448" s="405"/>
      <c r="Q448" s="420"/>
      <c r="T448" s="8">
        <f t="shared" si="9"/>
        <v>0</v>
      </c>
    </row>
    <row r="449" spans="1:20" hidden="1" outlineLevel="1" x14ac:dyDescent="0.25">
      <c r="A449" s="118"/>
      <c r="B449" s="128"/>
      <c r="C449" s="156"/>
      <c r="D449" s="157"/>
      <c r="E449" s="157"/>
      <c r="F449" s="138"/>
      <c r="G449" s="158"/>
      <c r="H449" s="258"/>
      <c r="I449" s="159"/>
      <c r="J449" s="157"/>
      <c r="K449" s="475"/>
      <c r="L449" s="445"/>
      <c r="O449" s="392" t="e">
        <f t="shared" si="10"/>
        <v>#DIV/0!</v>
      </c>
      <c r="P449" s="405"/>
      <c r="Q449" s="420"/>
      <c r="T449" s="8">
        <f t="shared" si="9"/>
        <v>0</v>
      </c>
    </row>
    <row r="450" spans="1:20" hidden="1" outlineLevel="1" x14ac:dyDescent="0.25">
      <c r="A450" s="174" t="s">
        <v>607</v>
      </c>
      <c r="B450" s="175"/>
      <c r="C450" s="176"/>
      <c r="D450" s="164"/>
      <c r="E450" s="164"/>
      <c r="F450" s="177" t="s">
        <v>536</v>
      </c>
      <c r="G450" s="178"/>
      <c r="H450" s="350"/>
      <c r="I450" s="179"/>
      <c r="J450" s="164"/>
      <c r="K450" s="475"/>
      <c r="L450" s="445"/>
      <c r="M450" s="502"/>
      <c r="O450" s="392" t="e">
        <f t="shared" si="10"/>
        <v>#DIV/0!</v>
      </c>
      <c r="P450" s="405"/>
      <c r="Q450" s="420"/>
      <c r="T450" s="8">
        <f t="shared" si="9"/>
        <v>0</v>
      </c>
    </row>
    <row r="451" spans="1:20" hidden="1" outlineLevel="1" x14ac:dyDescent="0.25">
      <c r="A451" s="180"/>
      <c r="B451" s="180"/>
      <c r="C451" s="181"/>
      <c r="D451" s="135"/>
      <c r="E451" s="135"/>
      <c r="F451" s="182"/>
      <c r="G451" s="171"/>
      <c r="H451" s="349"/>
      <c r="I451" s="172"/>
      <c r="J451" s="173"/>
      <c r="K451" s="475"/>
      <c r="L451" s="445"/>
      <c r="M451" s="482"/>
      <c r="O451" s="515" t="e">
        <f t="shared" si="10"/>
        <v>#DIV/0!</v>
      </c>
      <c r="P451" s="405"/>
      <c r="Q451" s="420"/>
      <c r="T451" s="8">
        <f t="shared" si="9"/>
        <v>0</v>
      </c>
    </row>
    <row r="452" spans="1:20" x14ac:dyDescent="0.25">
      <c r="A452" s="279">
        <v>8</v>
      </c>
      <c r="B452" s="370" t="s">
        <v>517</v>
      </c>
      <c r="C452" s="184"/>
      <c r="D452" s="186"/>
      <c r="E452" s="186"/>
      <c r="F452" s="267"/>
      <c r="G452" s="280">
        <v>16</v>
      </c>
      <c r="H452" s="356">
        <v>435</v>
      </c>
      <c r="I452" s="281">
        <v>4750</v>
      </c>
      <c r="J452" s="330">
        <v>1.2</v>
      </c>
      <c r="K452" s="475">
        <v>8</v>
      </c>
      <c r="L452" s="439" t="str">
        <f>B452</f>
        <v>Communication</v>
      </c>
      <c r="M452" s="500">
        <f>M454+M456+M461+M467</f>
        <v>0.7</v>
      </c>
      <c r="N452" s="391">
        <f>G452</f>
        <v>16</v>
      </c>
      <c r="O452" s="392">
        <f t="shared" si="10"/>
        <v>4.3749999999999997E-2</v>
      </c>
      <c r="P452" s="392">
        <v>0.95</v>
      </c>
      <c r="Q452" s="417" t="s">
        <v>670</v>
      </c>
      <c r="R452" s="116"/>
      <c r="T452" s="8">
        <f t="shared" si="9"/>
        <v>0.96544715447154472</v>
      </c>
    </row>
    <row r="453" spans="1:20" hidden="1" outlineLevel="1" x14ac:dyDescent="0.25">
      <c r="A453" s="136"/>
      <c r="B453" s="200"/>
      <c r="C453" s="137"/>
      <c r="D453" s="137"/>
      <c r="E453" s="137"/>
      <c r="F453" s="138"/>
      <c r="G453" s="158"/>
      <c r="H453" s="258"/>
      <c r="I453" s="159"/>
      <c r="J453" s="254"/>
      <c r="K453" s="475"/>
      <c r="L453" s="445"/>
      <c r="M453" s="492"/>
      <c r="O453" s="529" t="e">
        <f t="shared" si="10"/>
        <v>#DIV/0!</v>
      </c>
      <c r="P453" s="405"/>
      <c r="Q453" s="420"/>
      <c r="T453" s="8">
        <f t="shared" si="9"/>
        <v>0</v>
      </c>
    </row>
    <row r="454" spans="1:20" outlineLevel="1" x14ac:dyDescent="0.25">
      <c r="A454" s="155">
        <v>8.1</v>
      </c>
      <c r="B454" s="155" t="s">
        <v>1175</v>
      </c>
      <c r="C454" s="195"/>
      <c r="D454" s="135"/>
      <c r="E454" s="135"/>
      <c r="F454" s="118"/>
      <c r="G454" s="158">
        <v>0.6</v>
      </c>
      <c r="H454" s="258">
        <v>15</v>
      </c>
      <c r="I454" s="159">
        <v>720</v>
      </c>
      <c r="J454" s="254">
        <v>6.3</v>
      </c>
      <c r="K454" s="475"/>
      <c r="L454" s="446" t="str">
        <f>B454</f>
        <v>Postal services</v>
      </c>
      <c r="M454" s="540"/>
      <c r="N454" s="116"/>
      <c r="O454" s="392"/>
      <c r="P454" s="392"/>
      <c r="Q454" s="545" t="s">
        <v>670</v>
      </c>
      <c r="R454" s="116"/>
      <c r="T454" s="8">
        <f t="shared" si="9"/>
        <v>0.14634146341463414</v>
      </c>
    </row>
    <row r="455" spans="1:20" hidden="1" outlineLevel="1" x14ac:dyDescent="0.25">
      <c r="A455" s="155"/>
      <c r="B455" s="196"/>
      <c r="C455" s="137"/>
      <c r="D455" s="135"/>
      <c r="E455" s="135"/>
      <c r="F455" s="118"/>
      <c r="G455" s="158"/>
      <c r="H455" s="258"/>
      <c r="I455" s="159"/>
      <c r="J455" s="257"/>
      <c r="K455" s="475"/>
      <c r="L455" s="445"/>
      <c r="M455" s="492"/>
      <c r="O455" s="529" t="e">
        <f t="shared" si="10"/>
        <v>#DIV/0!</v>
      </c>
      <c r="P455" s="405"/>
      <c r="Q455" s="420"/>
      <c r="T455" s="8">
        <f t="shared" si="9"/>
        <v>0</v>
      </c>
    </row>
    <row r="456" spans="1:20" outlineLevel="1" x14ac:dyDescent="0.25">
      <c r="A456" s="195">
        <v>8.1999999999999993</v>
      </c>
      <c r="B456" s="196" t="s">
        <v>1176</v>
      </c>
      <c r="C456" s="135"/>
      <c r="D456" s="135"/>
      <c r="E456" s="135"/>
      <c r="F456" s="118"/>
      <c r="G456" s="396">
        <v>0.7</v>
      </c>
      <c r="H456" s="258">
        <v>20</v>
      </c>
      <c r="I456" s="159">
        <v>200</v>
      </c>
      <c r="J456" s="254">
        <v>15.7</v>
      </c>
      <c r="K456" s="475"/>
      <c r="L456" s="441" t="str">
        <f>B456</f>
        <v>Telephone and telefax equipment</v>
      </c>
      <c r="M456" s="540">
        <f>G456</f>
        <v>0.7</v>
      </c>
      <c r="N456" s="116"/>
      <c r="O456" s="392"/>
      <c r="P456" s="392"/>
      <c r="Q456" s="545" t="s">
        <v>670</v>
      </c>
      <c r="R456" s="116" t="s">
        <v>1177</v>
      </c>
      <c r="T456" s="8">
        <f t="shared" si="9"/>
        <v>4.065040650406504E-2</v>
      </c>
    </row>
    <row r="457" spans="1:20" hidden="1" outlineLevel="1" x14ac:dyDescent="0.25">
      <c r="A457" s="136"/>
      <c r="B457" s="136" t="s">
        <v>1178</v>
      </c>
      <c r="C457" s="201" t="s">
        <v>1179</v>
      </c>
      <c r="D457" s="137"/>
      <c r="E457" s="137"/>
      <c r="F457" s="138"/>
      <c r="G457" s="377">
        <v>0</v>
      </c>
      <c r="H457" s="375">
        <v>1</v>
      </c>
      <c r="I457" s="159">
        <v>20</v>
      </c>
      <c r="J457" s="257">
        <v>29.9</v>
      </c>
      <c r="K457" s="475"/>
      <c r="L457" s="445"/>
      <c r="M457" s="492"/>
      <c r="O457" s="530" t="e">
        <f t="shared" si="10"/>
        <v>#DIV/0!</v>
      </c>
      <c r="P457" s="405"/>
      <c r="Q457" s="420"/>
      <c r="T457" s="8">
        <f t="shared" si="9"/>
        <v>4.0650406504065045E-3</v>
      </c>
    </row>
    <row r="458" spans="1:20" hidden="1" outlineLevel="1" x14ac:dyDescent="0.25">
      <c r="A458" s="136"/>
      <c r="B458" s="136" t="s">
        <v>1180</v>
      </c>
      <c r="C458" s="201" t="s">
        <v>1181</v>
      </c>
      <c r="D458" s="137"/>
      <c r="E458" s="137"/>
      <c r="F458" s="138"/>
      <c r="G458" s="171">
        <v>0.7</v>
      </c>
      <c r="H458" s="349">
        <v>19</v>
      </c>
      <c r="I458" s="172">
        <v>190</v>
      </c>
      <c r="J458" s="257">
        <v>16.3</v>
      </c>
      <c r="K458" s="475"/>
      <c r="L458" s="445"/>
      <c r="M458" s="492"/>
      <c r="O458" s="392" t="e">
        <f t="shared" si="10"/>
        <v>#DIV/0!</v>
      </c>
      <c r="P458" s="405"/>
      <c r="Q458" s="420"/>
      <c r="T458" s="8">
        <f t="shared" si="9"/>
        <v>3.8617886178861791E-2</v>
      </c>
    </row>
    <row r="459" spans="1:20" hidden="1" outlineLevel="1" x14ac:dyDescent="0.25">
      <c r="A459" s="136"/>
      <c r="B459" s="136" t="s">
        <v>1182</v>
      </c>
      <c r="C459" s="201" t="s">
        <v>1183</v>
      </c>
      <c r="D459" s="137"/>
      <c r="E459" s="137"/>
      <c r="F459" s="138"/>
      <c r="G459" s="377" t="s">
        <v>645</v>
      </c>
      <c r="H459" s="377" t="s">
        <v>645</v>
      </c>
      <c r="I459" s="377" t="s">
        <v>645</v>
      </c>
      <c r="J459" s="377" t="s">
        <v>645</v>
      </c>
      <c r="K459" s="475"/>
      <c r="L459" s="445"/>
      <c r="M459" s="492"/>
      <c r="O459" s="392" t="e">
        <f t="shared" si="10"/>
        <v>#DIV/0!</v>
      </c>
      <c r="P459" s="405"/>
      <c r="Q459" s="420"/>
      <c r="T459" s="8" t="e">
        <f t="shared" si="9"/>
        <v>#VALUE!</v>
      </c>
    </row>
    <row r="460" spans="1:20" hidden="1" outlineLevel="1" x14ac:dyDescent="0.25">
      <c r="A460" s="195"/>
      <c r="B460" s="196"/>
      <c r="C460" s="137"/>
      <c r="D460" s="135"/>
      <c r="E460" s="135"/>
      <c r="F460" s="249"/>
      <c r="G460" s="158"/>
      <c r="H460" s="258"/>
      <c r="I460" s="159"/>
      <c r="J460" s="254"/>
      <c r="K460" s="475"/>
      <c r="L460" s="445"/>
      <c r="M460" s="492"/>
      <c r="O460" s="515" t="e">
        <f t="shared" si="10"/>
        <v>#DIV/0!</v>
      </c>
      <c r="P460" s="405"/>
      <c r="Q460" s="420"/>
      <c r="T460" s="8">
        <f t="shared" si="9"/>
        <v>0</v>
      </c>
    </row>
    <row r="461" spans="1:20" outlineLevel="1" x14ac:dyDescent="0.25">
      <c r="A461" s="155">
        <v>8.3000000000000007</v>
      </c>
      <c r="B461" s="155" t="s">
        <v>1184</v>
      </c>
      <c r="C461" s="135"/>
      <c r="D461" s="135"/>
      <c r="E461" s="135"/>
      <c r="F461" s="118"/>
      <c r="G461" s="158">
        <v>11.6</v>
      </c>
      <c r="H461" s="258">
        <v>315</v>
      </c>
      <c r="I461" s="159">
        <v>4690</v>
      </c>
      <c r="J461" s="254">
        <v>1</v>
      </c>
      <c r="K461" s="475"/>
      <c r="L461" s="446" t="str">
        <f>B461</f>
        <v>Telephone and telefax services</v>
      </c>
      <c r="M461" s="540"/>
      <c r="N461" s="116"/>
      <c r="O461" s="392"/>
      <c r="P461" s="392"/>
      <c r="Q461" s="545" t="s">
        <v>670</v>
      </c>
      <c r="R461" s="116"/>
      <c r="T461" s="8">
        <f t="shared" si="9"/>
        <v>0.9532520325203252</v>
      </c>
    </row>
    <row r="462" spans="1:20" hidden="1" outlineLevel="1" x14ac:dyDescent="0.25">
      <c r="A462" s="137"/>
      <c r="B462" s="136" t="s">
        <v>1185</v>
      </c>
      <c r="C462" s="136" t="s">
        <v>1186</v>
      </c>
      <c r="D462" s="200"/>
      <c r="E462" s="200"/>
      <c r="F462" s="138"/>
      <c r="G462" s="158">
        <v>4.0999999999999996</v>
      </c>
      <c r="H462" s="258">
        <v>112</v>
      </c>
      <c r="I462" s="159">
        <v>4250</v>
      </c>
      <c r="J462" s="254">
        <v>1</v>
      </c>
      <c r="K462" s="475"/>
      <c r="L462" s="445"/>
      <c r="M462" s="492"/>
      <c r="O462" s="530" t="e">
        <f t="shared" si="10"/>
        <v>#DIV/0!</v>
      </c>
      <c r="P462" s="405"/>
      <c r="Q462" s="420"/>
      <c r="T462" s="8">
        <f t="shared" si="9"/>
        <v>0.86382113821138207</v>
      </c>
    </row>
    <row r="463" spans="1:20" hidden="1" outlineLevel="1" x14ac:dyDescent="0.25">
      <c r="A463" s="137"/>
      <c r="B463" s="136" t="s">
        <v>1187</v>
      </c>
      <c r="C463" s="136" t="s">
        <v>1188</v>
      </c>
      <c r="D463" s="137"/>
      <c r="E463" s="137"/>
      <c r="F463" s="138"/>
      <c r="G463" s="377">
        <v>0</v>
      </c>
      <c r="H463" s="375">
        <v>0</v>
      </c>
      <c r="I463" s="159" t="s">
        <v>610</v>
      </c>
      <c r="J463" s="254">
        <v>45.8</v>
      </c>
      <c r="K463" s="475"/>
      <c r="L463" s="445"/>
      <c r="M463" s="492"/>
      <c r="O463" s="392" t="e">
        <f t="shared" si="10"/>
        <v>#DIV/0!</v>
      </c>
      <c r="P463" s="405"/>
      <c r="Q463" s="420"/>
      <c r="T463" s="8" t="e">
        <f t="shared" si="9"/>
        <v>#VALUE!</v>
      </c>
    </row>
    <row r="464" spans="1:20" hidden="1" outlineLevel="1" x14ac:dyDescent="0.25">
      <c r="A464" s="137"/>
      <c r="B464" s="136" t="s">
        <v>1189</v>
      </c>
      <c r="C464" s="136" t="s">
        <v>1190</v>
      </c>
      <c r="D464" s="200"/>
      <c r="E464" s="200"/>
      <c r="F464" s="138"/>
      <c r="G464" s="158">
        <v>7</v>
      </c>
      <c r="H464" s="258">
        <v>190</v>
      </c>
      <c r="I464" s="159">
        <v>3390</v>
      </c>
      <c r="J464" s="254">
        <v>1.5</v>
      </c>
      <c r="K464" s="475"/>
      <c r="L464" s="445"/>
      <c r="M464" s="492"/>
      <c r="O464" s="392" t="e">
        <f t="shared" si="10"/>
        <v>#DIV/0!</v>
      </c>
      <c r="P464" s="405"/>
      <c r="Q464" s="420"/>
      <c r="T464" s="8">
        <f t="shared" si="9"/>
        <v>0.68902439024390238</v>
      </c>
    </row>
    <row r="465" spans="1:20" hidden="1" outlineLevel="1" x14ac:dyDescent="0.25">
      <c r="A465" s="137"/>
      <c r="B465" s="136" t="s">
        <v>1191</v>
      </c>
      <c r="C465" s="136" t="s">
        <v>1192</v>
      </c>
      <c r="D465" s="200"/>
      <c r="E465" s="200"/>
      <c r="F465" s="138"/>
      <c r="G465" s="158">
        <v>0.5</v>
      </c>
      <c r="H465" s="258">
        <v>12</v>
      </c>
      <c r="I465" s="159">
        <v>290</v>
      </c>
      <c r="J465" s="254">
        <v>7</v>
      </c>
      <c r="K465" s="475"/>
      <c r="L465" s="445"/>
      <c r="M465" s="492"/>
      <c r="O465" s="392" t="e">
        <f t="shared" si="10"/>
        <v>#DIV/0!</v>
      </c>
      <c r="P465" s="405"/>
      <c r="Q465" s="420"/>
      <c r="T465" s="8">
        <f t="shared" si="9"/>
        <v>5.894308943089431E-2</v>
      </c>
    </row>
    <row r="466" spans="1:20" hidden="1" outlineLevel="1" x14ac:dyDescent="0.25">
      <c r="A466" s="137"/>
      <c r="B466" s="136"/>
      <c r="C466" s="136"/>
      <c r="D466" s="200"/>
      <c r="E466" s="200"/>
      <c r="F466" s="138"/>
      <c r="G466" s="158"/>
      <c r="H466" s="258"/>
      <c r="I466" s="159"/>
      <c r="J466" s="254"/>
      <c r="K466" s="475"/>
      <c r="L466" s="445"/>
      <c r="M466" s="492"/>
      <c r="O466" s="515" t="e">
        <f t="shared" si="10"/>
        <v>#DIV/0!</v>
      </c>
      <c r="P466" s="405"/>
      <c r="Q466" s="420"/>
      <c r="T466" s="8">
        <f t="shared" ref="T466:T529" si="11">I466/$I$11</f>
        <v>0</v>
      </c>
    </row>
    <row r="467" spans="1:20" outlineLevel="1" x14ac:dyDescent="0.25">
      <c r="A467" s="155">
        <v>8.4</v>
      </c>
      <c r="B467" s="155" t="s">
        <v>1193</v>
      </c>
      <c r="C467" s="136"/>
      <c r="D467" s="200"/>
      <c r="E467" s="200"/>
      <c r="F467" s="138"/>
      <c r="G467" s="158">
        <v>3.1</v>
      </c>
      <c r="H467" s="258">
        <v>85</v>
      </c>
      <c r="I467" s="159">
        <v>3950</v>
      </c>
      <c r="J467" s="254">
        <v>1.3</v>
      </c>
      <c r="K467" s="475"/>
      <c r="L467" s="446" t="str">
        <f>B467</f>
        <v>Internet subscription fees</v>
      </c>
      <c r="M467" s="540"/>
      <c r="N467" s="116"/>
      <c r="O467" s="392"/>
      <c r="P467" s="392"/>
      <c r="Q467" s="545" t="s">
        <v>670</v>
      </c>
      <c r="R467" s="116"/>
      <c r="T467" s="8">
        <f t="shared" si="11"/>
        <v>0.80284552845528456</v>
      </c>
    </row>
    <row r="468" spans="1:20" hidden="1" outlineLevel="1" x14ac:dyDescent="0.25">
      <c r="A468" s="136"/>
      <c r="B468" s="200"/>
      <c r="C468" s="136"/>
      <c r="D468" s="137"/>
      <c r="E468" s="137"/>
      <c r="F468" s="138"/>
      <c r="G468" s="158"/>
      <c r="H468" s="378"/>
      <c r="I468" s="159"/>
      <c r="J468" s="254"/>
      <c r="K468" s="475"/>
      <c r="L468" s="445"/>
      <c r="M468" s="492"/>
      <c r="O468" s="530" t="e">
        <f t="shared" si="10"/>
        <v>#DIV/0!</v>
      </c>
      <c r="P468" s="405"/>
      <c r="Q468" s="420"/>
      <c r="T468" s="8">
        <f t="shared" si="11"/>
        <v>0</v>
      </c>
    </row>
    <row r="469" spans="1:20" hidden="1" outlineLevel="1" x14ac:dyDescent="0.25">
      <c r="A469" s="136"/>
      <c r="B469" s="136"/>
      <c r="C469" s="200"/>
      <c r="D469" s="200"/>
      <c r="E469" s="200"/>
      <c r="F469" s="138"/>
      <c r="G469" s="158"/>
      <c r="H469" s="285"/>
      <c r="I469" s="159"/>
      <c r="J469" s="254"/>
      <c r="K469" s="466"/>
      <c r="L469" s="440"/>
      <c r="M469" s="492"/>
      <c r="O469" s="515" t="e">
        <f t="shared" si="10"/>
        <v>#DIV/0!</v>
      </c>
      <c r="P469" s="405"/>
      <c r="Q469" s="420"/>
      <c r="T469" s="8">
        <f t="shared" si="11"/>
        <v>0</v>
      </c>
    </row>
    <row r="470" spans="1:20" x14ac:dyDescent="0.25">
      <c r="A470" s="234">
        <v>9</v>
      </c>
      <c r="B470" s="234" t="s">
        <v>569</v>
      </c>
      <c r="C470" s="184"/>
      <c r="D470" s="184"/>
      <c r="E470" s="184"/>
      <c r="F470" s="267"/>
      <c r="G470" s="280">
        <v>68</v>
      </c>
      <c r="H470" s="356">
        <v>1851</v>
      </c>
      <c r="I470" s="281">
        <v>4850</v>
      </c>
      <c r="J470" s="330">
        <v>2.2000000000000002</v>
      </c>
      <c r="K470" s="466">
        <v>9</v>
      </c>
      <c r="L470" s="447" t="str">
        <f>B470</f>
        <v>Recreation and culture</v>
      </c>
      <c r="M470" s="500">
        <f>M472+M493+M503+M543+M578+M585</f>
        <v>41.75</v>
      </c>
      <c r="N470" s="391">
        <f>G470</f>
        <v>68</v>
      </c>
      <c r="O470" s="392">
        <f t="shared" si="10"/>
        <v>0.61397058823529416</v>
      </c>
      <c r="P470" s="416">
        <v>0.3</v>
      </c>
      <c r="Q470" s="417" t="s">
        <v>822</v>
      </c>
      <c r="R470" s="116" t="s">
        <v>1194</v>
      </c>
      <c r="T470" s="8">
        <f t="shared" si="11"/>
        <v>0.98577235772357719</v>
      </c>
    </row>
    <row r="471" spans="1:20" hidden="1" outlineLevel="1" x14ac:dyDescent="0.25">
      <c r="A471" s="195"/>
      <c r="B471" s="196"/>
      <c r="C471" s="200"/>
      <c r="D471" s="135"/>
      <c r="E471" s="135"/>
      <c r="F471" s="249"/>
      <c r="G471" s="158"/>
      <c r="H471" s="258"/>
      <c r="I471" s="159"/>
      <c r="J471" s="257"/>
      <c r="K471" s="466"/>
      <c r="L471" s="440"/>
      <c r="M471" s="492"/>
      <c r="Q471" s="419"/>
      <c r="T471" s="8">
        <f t="shared" si="11"/>
        <v>0</v>
      </c>
    </row>
    <row r="472" spans="1:20" ht="26.25" hidden="1" outlineLevel="1" x14ac:dyDescent="0.25">
      <c r="A472" s="195">
        <v>9.1</v>
      </c>
      <c r="B472" s="196" t="s">
        <v>1195</v>
      </c>
      <c r="C472" s="195"/>
      <c r="D472" s="135"/>
      <c r="E472" s="135"/>
      <c r="F472" s="118"/>
      <c r="G472" s="158">
        <v>6.1</v>
      </c>
      <c r="H472" s="258">
        <v>167</v>
      </c>
      <c r="I472" s="159">
        <v>1080</v>
      </c>
      <c r="J472" s="254">
        <v>10.6</v>
      </c>
      <c r="K472" s="466"/>
      <c r="L472" s="441" t="str">
        <f>B472</f>
        <v>Audio-visual, photographic and information processing equipment</v>
      </c>
      <c r="M472" s="540">
        <f>G472</f>
        <v>6.1</v>
      </c>
      <c r="N472" s="116"/>
      <c r="O472" s="116"/>
      <c r="P472" s="116"/>
      <c r="Q472" s="418" t="s">
        <v>587</v>
      </c>
      <c r="R472" s="116" t="s">
        <v>1196</v>
      </c>
      <c r="T472" s="8">
        <f t="shared" si="11"/>
        <v>0.21951219512195122</v>
      </c>
    </row>
    <row r="473" spans="1:20" hidden="1" outlineLevel="1" x14ac:dyDescent="0.25">
      <c r="A473" s="136"/>
      <c r="B473" s="136" t="s">
        <v>1197</v>
      </c>
      <c r="C473" s="136" t="s">
        <v>1198</v>
      </c>
      <c r="D473" s="137"/>
      <c r="E473" s="137"/>
      <c r="F473" s="138"/>
      <c r="G473" s="158">
        <v>1</v>
      </c>
      <c r="H473" s="258">
        <v>27</v>
      </c>
      <c r="I473" s="159">
        <v>400</v>
      </c>
      <c r="J473" s="254">
        <v>12.7</v>
      </c>
      <c r="K473" s="466"/>
      <c r="L473" s="440"/>
      <c r="M473" s="492"/>
      <c r="Q473" s="419"/>
      <c r="T473" s="8">
        <f t="shared" si="11"/>
        <v>8.1300813008130079E-2</v>
      </c>
    </row>
    <row r="474" spans="1:20" hidden="1" outlineLevel="1" x14ac:dyDescent="0.25">
      <c r="A474" s="136"/>
      <c r="B474" s="137"/>
      <c r="C474" s="136" t="s">
        <v>1199</v>
      </c>
      <c r="D474" s="136" t="s">
        <v>1200</v>
      </c>
      <c r="E474" s="136"/>
      <c r="F474" s="138"/>
      <c r="G474" s="158">
        <v>0.2</v>
      </c>
      <c r="H474" s="258">
        <v>7</v>
      </c>
      <c r="I474" s="159">
        <v>40</v>
      </c>
      <c r="J474" s="254">
        <v>20.2</v>
      </c>
      <c r="K474" s="466"/>
      <c r="L474" s="440"/>
      <c r="M474" s="492"/>
      <c r="Q474" s="419"/>
      <c r="T474" s="8">
        <f t="shared" si="11"/>
        <v>8.130081300813009E-3</v>
      </c>
    </row>
    <row r="475" spans="1:20" hidden="1" outlineLevel="1" x14ac:dyDescent="0.25">
      <c r="A475" s="136"/>
      <c r="B475" s="137"/>
      <c r="C475" s="136" t="s">
        <v>1201</v>
      </c>
      <c r="D475" s="136" t="s">
        <v>1202</v>
      </c>
      <c r="E475" s="136"/>
      <c r="F475" s="138"/>
      <c r="G475" s="158">
        <v>0.7</v>
      </c>
      <c r="H475" s="258">
        <v>20</v>
      </c>
      <c r="I475" s="159">
        <v>360</v>
      </c>
      <c r="J475" s="254">
        <v>15.6</v>
      </c>
      <c r="K475" s="466"/>
      <c r="L475" s="440"/>
      <c r="M475" s="492"/>
      <c r="Q475" s="419"/>
      <c r="T475" s="8">
        <f t="shared" si="11"/>
        <v>7.3170731707317069E-2</v>
      </c>
    </row>
    <row r="476" spans="1:20" hidden="1" outlineLevel="1" x14ac:dyDescent="0.25">
      <c r="A476" s="200"/>
      <c r="B476" s="201"/>
      <c r="C476" s="200"/>
      <c r="D476" s="137"/>
      <c r="E476" s="137"/>
      <c r="F476" s="138"/>
      <c r="G476" s="158"/>
      <c r="H476" s="258"/>
      <c r="I476" s="159"/>
      <c r="J476" s="257"/>
      <c r="K476" s="466"/>
      <c r="L476" s="440"/>
      <c r="M476" s="492"/>
      <c r="Q476" s="419"/>
      <c r="T476" s="8">
        <f t="shared" si="11"/>
        <v>0</v>
      </c>
    </row>
    <row r="477" spans="1:20" hidden="1" outlineLevel="1" x14ac:dyDescent="0.25">
      <c r="A477" s="137"/>
      <c r="B477" s="136" t="s">
        <v>1203</v>
      </c>
      <c r="C477" s="201" t="s">
        <v>1204</v>
      </c>
      <c r="D477" s="137"/>
      <c r="E477" s="137"/>
      <c r="F477" s="138"/>
      <c r="G477" s="158">
        <v>4.5</v>
      </c>
      <c r="H477" s="258">
        <v>121</v>
      </c>
      <c r="I477" s="159">
        <v>780</v>
      </c>
      <c r="J477" s="254">
        <v>11.8</v>
      </c>
      <c r="K477" s="466"/>
      <c r="L477" s="440"/>
      <c r="M477" s="492"/>
      <c r="Q477" s="419"/>
      <c r="T477" s="8">
        <f t="shared" si="11"/>
        <v>0.15853658536585366</v>
      </c>
    </row>
    <row r="478" spans="1:20" hidden="1" outlineLevel="1" x14ac:dyDescent="0.25">
      <c r="A478" s="200"/>
      <c r="B478" s="137"/>
      <c r="C478" s="201" t="s">
        <v>1205</v>
      </c>
      <c r="D478" s="136" t="s">
        <v>1206</v>
      </c>
      <c r="E478" s="136"/>
      <c r="F478" s="138"/>
      <c r="G478" s="158">
        <v>1.5</v>
      </c>
      <c r="H478" s="258">
        <v>42</v>
      </c>
      <c r="I478" s="159">
        <v>70</v>
      </c>
      <c r="J478" s="254">
        <v>26.3</v>
      </c>
      <c r="K478" s="466"/>
      <c r="L478" s="440"/>
      <c r="M478" s="492"/>
      <c r="Q478" s="419"/>
      <c r="T478" s="8">
        <f t="shared" si="11"/>
        <v>1.4227642276422764E-2</v>
      </c>
    </row>
    <row r="479" spans="1:20" hidden="1" outlineLevel="1" x14ac:dyDescent="0.25">
      <c r="A479" s="200"/>
      <c r="B479" s="137"/>
      <c r="C479" s="201" t="s">
        <v>1207</v>
      </c>
      <c r="D479" s="136" t="s">
        <v>1208</v>
      </c>
      <c r="E479" s="136"/>
      <c r="F479" s="138"/>
      <c r="G479" s="376">
        <v>0.1</v>
      </c>
      <c r="H479" s="375">
        <v>3</v>
      </c>
      <c r="I479" s="159" t="s">
        <v>610</v>
      </c>
      <c r="J479" s="254">
        <v>46.7</v>
      </c>
      <c r="K479" s="466"/>
      <c r="L479" s="440"/>
      <c r="M479" s="492"/>
      <c r="Q479" s="419"/>
      <c r="T479" s="8" t="e">
        <f t="shared" si="11"/>
        <v>#VALUE!</v>
      </c>
    </row>
    <row r="480" spans="1:20" hidden="1" outlineLevel="1" x14ac:dyDescent="0.25">
      <c r="A480" s="136"/>
      <c r="B480" s="137"/>
      <c r="C480" s="136" t="s">
        <v>1209</v>
      </c>
      <c r="D480" s="137" t="s">
        <v>1210</v>
      </c>
      <c r="E480" s="137"/>
      <c r="F480" s="138"/>
      <c r="G480" s="377" t="s">
        <v>645</v>
      </c>
      <c r="H480" s="377" t="s">
        <v>645</v>
      </c>
      <c r="I480" s="377" t="s">
        <v>645</v>
      </c>
      <c r="J480" s="377" t="s">
        <v>645</v>
      </c>
      <c r="K480" s="466"/>
      <c r="L480" s="440"/>
      <c r="M480" s="492"/>
      <c r="Q480" s="419"/>
      <c r="T480" s="8" t="e">
        <f t="shared" si="11"/>
        <v>#VALUE!</v>
      </c>
    </row>
    <row r="481" spans="1:20" hidden="1" outlineLevel="1" x14ac:dyDescent="0.25">
      <c r="A481" s="136"/>
      <c r="B481" s="137"/>
      <c r="C481" s="136" t="s">
        <v>1211</v>
      </c>
      <c r="D481" s="137" t="s">
        <v>1212</v>
      </c>
      <c r="E481" s="137"/>
      <c r="F481" s="138"/>
      <c r="G481" s="377" t="s">
        <v>645</v>
      </c>
      <c r="H481" s="377" t="s">
        <v>645</v>
      </c>
      <c r="I481" s="377" t="s">
        <v>645</v>
      </c>
      <c r="J481" s="377" t="s">
        <v>645</v>
      </c>
      <c r="K481" s="466"/>
      <c r="L481" s="440"/>
      <c r="M481" s="492"/>
      <c r="Q481" s="419"/>
      <c r="T481" s="8" t="e">
        <f t="shared" si="11"/>
        <v>#VALUE!</v>
      </c>
    </row>
    <row r="482" spans="1:20" hidden="1" outlineLevel="1" x14ac:dyDescent="0.25">
      <c r="A482" s="136"/>
      <c r="B482" s="137"/>
      <c r="C482" s="136" t="s">
        <v>1213</v>
      </c>
      <c r="D482" s="137" t="s">
        <v>1214</v>
      </c>
      <c r="E482" s="137"/>
      <c r="F482" s="138"/>
      <c r="G482" s="376">
        <v>0.1</v>
      </c>
      <c r="H482" s="375">
        <v>1</v>
      </c>
      <c r="I482" s="159" t="s">
        <v>610</v>
      </c>
      <c r="J482" s="254">
        <v>42.2</v>
      </c>
      <c r="K482" s="466"/>
      <c r="L482" s="440"/>
      <c r="M482" s="492"/>
      <c r="Q482" s="419"/>
      <c r="T482" s="8" t="e">
        <f t="shared" si="11"/>
        <v>#VALUE!</v>
      </c>
    </row>
    <row r="483" spans="1:20" hidden="1" outlineLevel="1" x14ac:dyDescent="0.25">
      <c r="A483" s="200"/>
      <c r="B483" s="137"/>
      <c r="C483" s="136" t="s">
        <v>1215</v>
      </c>
      <c r="D483" s="136" t="s">
        <v>1216</v>
      </c>
      <c r="E483" s="136"/>
      <c r="F483" s="138"/>
      <c r="G483" s="158">
        <v>0.5</v>
      </c>
      <c r="H483" s="258">
        <v>15</v>
      </c>
      <c r="I483" s="159">
        <v>410</v>
      </c>
      <c r="J483" s="254">
        <v>7.3</v>
      </c>
      <c r="K483" s="466"/>
      <c r="L483" s="440"/>
      <c r="M483" s="492"/>
      <c r="Q483" s="419"/>
      <c r="T483" s="8">
        <f t="shared" si="11"/>
        <v>8.3333333333333329E-2</v>
      </c>
    </row>
    <row r="484" spans="1:20" hidden="1" outlineLevel="1" x14ac:dyDescent="0.25">
      <c r="A484" s="200"/>
      <c r="B484" s="137"/>
      <c r="C484" s="136" t="s">
        <v>1217</v>
      </c>
      <c r="D484" s="136" t="s">
        <v>1218</v>
      </c>
      <c r="E484" s="136"/>
      <c r="F484" s="138"/>
      <c r="G484" s="158">
        <v>1.9</v>
      </c>
      <c r="H484" s="258">
        <v>53</v>
      </c>
      <c r="I484" s="159">
        <v>310</v>
      </c>
      <c r="J484" s="254">
        <v>15.7</v>
      </c>
      <c r="K484" s="466"/>
      <c r="L484" s="440"/>
      <c r="M484" s="492"/>
      <c r="Q484" s="419"/>
      <c r="T484" s="8">
        <f t="shared" si="11"/>
        <v>6.3008130081300809E-2</v>
      </c>
    </row>
    <row r="485" spans="1:20" hidden="1" outlineLevel="1" x14ac:dyDescent="0.25">
      <c r="A485" s="136"/>
      <c r="B485" s="137"/>
      <c r="C485" s="136" t="s">
        <v>1219</v>
      </c>
      <c r="D485" s="137" t="s">
        <v>1220</v>
      </c>
      <c r="E485" s="137"/>
      <c r="F485" s="138"/>
      <c r="G485" s="158">
        <v>0.1</v>
      </c>
      <c r="H485" s="258">
        <v>4</v>
      </c>
      <c r="I485" s="159">
        <v>60</v>
      </c>
      <c r="J485" s="254">
        <v>34.799999999999997</v>
      </c>
      <c r="K485" s="466"/>
      <c r="L485" s="440"/>
      <c r="M485" s="492"/>
      <c r="Q485" s="419"/>
      <c r="T485" s="8">
        <f t="shared" si="11"/>
        <v>1.2195121951219513E-2</v>
      </c>
    </row>
    <row r="486" spans="1:20" hidden="1" outlineLevel="1" x14ac:dyDescent="0.25">
      <c r="A486" s="136"/>
      <c r="B486" s="137"/>
      <c r="C486" s="136" t="s">
        <v>1221</v>
      </c>
      <c r="D486" s="136" t="s">
        <v>1222</v>
      </c>
      <c r="E486" s="136"/>
      <c r="F486" s="138"/>
      <c r="G486" s="158">
        <v>0.1</v>
      </c>
      <c r="H486" s="258">
        <v>3</v>
      </c>
      <c r="I486" s="159">
        <v>30</v>
      </c>
      <c r="J486" s="254">
        <v>29.1</v>
      </c>
      <c r="K486" s="466"/>
      <c r="L486" s="440"/>
      <c r="M486" s="492"/>
      <c r="Q486" s="419"/>
      <c r="T486" s="8">
        <f t="shared" si="11"/>
        <v>6.0975609756097563E-3</v>
      </c>
    </row>
    <row r="487" spans="1:20" hidden="1" outlineLevel="1" x14ac:dyDescent="0.25">
      <c r="A487" s="136"/>
      <c r="B487" s="200"/>
      <c r="C487" s="137"/>
      <c r="D487" s="137"/>
      <c r="E487" s="137"/>
      <c r="F487" s="138"/>
      <c r="G487" s="158"/>
      <c r="H487" s="258"/>
      <c r="I487" s="159"/>
      <c r="J487" s="254"/>
      <c r="K487" s="466"/>
      <c r="L487" s="440"/>
      <c r="M487" s="492"/>
      <c r="Q487" s="419"/>
      <c r="T487" s="8">
        <f t="shared" si="11"/>
        <v>0</v>
      </c>
    </row>
    <row r="488" spans="1:20" hidden="1" outlineLevel="1" x14ac:dyDescent="0.25">
      <c r="A488" s="137"/>
      <c r="B488" s="136" t="s">
        <v>1223</v>
      </c>
      <c r="C488" s="136" t="s">
        <v>1224</v>
      </c>
      <c r="D488" s="137"/>
      <c r="E488" s="137"/>
      <c r="F488" s="138"/>
      <c r="G488" s="158">
        <v>0.7</v>
      </c>
      <c r="H488" s="258">
        <v>19</v>
      </c>
      <c r="I488" s="159">
        <v>60</v>
      </c>
      <c r="J488" s="254">
        <v>53.3</v>
      </c>
      <c r="K488" s="466"/>
      <c r="L488" s="440"/>
      <c r="M488" s="492"/>
      <c r="Q488" s="419"/>
      <c r="T488" s="8">
        <f t="shared" si="11"/>
        <v>1.2195121951219513E-2</v>
      </c>
    </row>
    <row r="489" spans="1:20" hidden="1" outlineLevel="1" x14ac:dyDescent="0.25">
      <c r="A489" s="137"/>
      <c r="B489" s="136"/>
      <c r="C489" s="136" t="s">
        <v>1225</v>
      </c>
      <c r="D489" s="137" t="s">
        <v>1226</v>
      </c>
      <c r="E489" s="137"/>
      <c r="F489" s="138"/>
      <c r="G489" s="158">
        <v>0.3</v>
      </c>
      <c r="H489" s="258">
        <v>7</v>
      </c>
      <c r="I489" s="159">
        <v>50</v>
      </c>
      <c r="J489" s="254">
        <v>32</v>
      </c>
      <c r="K489" s="466"/>
      <c r="L489" s="440"/>
      <c r="M489" s="492"/>
      <c r="Q489" s="419"/>
      <c r="T489" s="8">
        <f t="shared" si="11"/>
        <v>1.016260162601626E-2</v>
      </c>
    </row>
    <row r="490" spans="1:20" hidden="1" outlineLevel="1" x14ac:dyDescent="0.25">
      <c r="A490" s="137"/>
      <c r="B490" s="136"/>
      <c r="C490" s="136" t="s">
        <v>1227</v>
      </c>
      <c r="D490" s="137" t="s">
        <v>1228</v>
      </c>
      <c r="E490" s="137"/>
      <c r="F490" s="138"/>
      <c r="G490" s="376">
        <v>0</v>
      </c>
      <c r="H490" s="375">
        <v>0</v>
      </c>
      <c r="I490" s="159" t="s">
        <v>610</v>
      </c>
      <c r="J490" s="254">
        <v>69.2</v>
      </c>
      <c r="K490" s="466"/>
      <c r="L490" s="440"/>
      <c r="M490" s="492"/>
      <c r="Q490" s="419"/>
      <c r="T490" s="8" t="e">
        <f t="shared" si="11"/>
        <v>#VALUE!</v>
      </c>
    </row>
    <row r="491" spans="1:20" hidden="1" outlineLevel="1" x14ac:dyDescent="0.25">
      <c r="A491" s="137"/>
      <c r="B491" s="137"/>
      <c r="C491" s="136" t="s">
        <v>1229</v>
      </c>
      <c r="D491" s="136" t="s">
        <v>1230</v>
      </c>
      <c r="E491" s="137"/>
      <c r="F491" s="138"/>
      <c r="G491" s="376">
        <v>0.4</v>
      </c>
      <c r="H491" s="375">
        <v>12</v>
      </c>
      <c r="I491" s="159" t="s">
        <v>610</v>
      </c>
      <c r="J491" s="254">
        <v>84.4</v>
      </c>
      <c r="K491" s="466"/>
      <c r="L491" s="440"/>
      <c r="M491" s="492"/>
      <c r="Q491" s="419"/>
      <c r="T491" s="8" t="e">
        <f t="shared" si="11"/>
        <v>#VALUE!</v>
      </c>
    </row>
    <row r="492" spans="1:20" hidden="1" outlineLevel="1" x14ac:dyDescent="0.25">
      <c r="A492" s="155"/>
      <c r="B492" s="155"/>
      <c r="C492" s="135"/>
      <c r="D492" s="249"/>
      <c r="E492" s="249"/>
      <c r="F492" s="249"/>
      <c r="G492" s="158"/>
      <c r="H492" s="349"/>
      <c r="I492" s="172"/>
      <c r="J492" s="254"/>
      <c r="K492" s="466"/>
      <c r="L492" s="440"/>
      <c r="M492" s="492"/>
      <c r="Q492" s="419"/>
      <c r="T492" s="8">
        <f t="shared" si="11"/>
        <v>0</v>
      </c>
    </row>
    <row r="493" spans="1:20" hidden="1" outlineLevel="1" x14ac:dyDescent="0.25">
      <c r="A493" s="195">
        <v>9.1999999999999993</v>
      </c>
      <c r="B493" s="196" t="s">
        <v>1231</v>
      </c>
      <c r="C493" s="195"/>
      <c r="D493" s="135"/>
      <c r="E493" s="135"/>
      <c r="F493" s="118"/>
      <c r="G493" s="158">
        <v>2.2999999999999998</v>
      </c>
      <c r="H493" s="258">
        <v>62</v>
      </c>
      <c r="I493" s="159">
        <v>110</v>
      </c>
      <c r="J493" s="254">
        <v>19.399999999999999</v>
      </c>
      <c r="K493" s="466"/>
      <c r="L493" s="441" t="str">
        <f>B493</f>
        <v>Other major durables for recreation and culture</v>
      </c>
      <c r="M493" s="541">
        <f>G493</f>
        <v>2.2999999999999998</v>
      </c>
      <c r="O493" s="116"/>
      <c r="P493" s="116"/>
      <c r="Q493" s="418" t="s">
        <v>587</v>
      </c>
      <c r="R493" s="116" t="s">
        <v>1232</v>
      </c>
      <c r="T493" s="8">
        <f t="shared" si="11"/>
        <v>2.2357723577235773E-2</v>
      </c>
    </row>
    <row r="494" spans="1:20" hidden="1" outlineLevel="1" x14ac:dyDescent="0.25">
      <c r="A494" s="137"/>
      <c r="B494" s="136" t="s">
        <v>1233</v>
      </c>
      <c r="C494" s="137" t="s">
        <v>1234</v>
      </c>
      <c r="D494" s="137"/>
      <c r="E494" s="137"/>
      <c r="F494" s="138"/>
      <c r="G494" s="376">
        <v>0.2</v>
      </c>
      <c r="H494" s="375">
        <v>4</v>
      </c>
      <c r="I494" s="159" t="s">
        <v>610</v>
      </c>
      <c r="J494" s="254">
        <v>69.599999999999994</v>
      </c>
      <c r="K494" s="466"/>
      <c r="L494" s="440"/>
      <c r="M494" s="492"/>
      <c r="Q494" s="419"/>
      <c r="T494" s="8" t="e">
        <f t="shared" si="11"/>
        <v>#VALUE!</v>
      </c>
    </row>
    <row r="495" spans="1:20" hidden="1" outlineLevel="1" x14ac:dyDescent="0.25">
      <c r="A495" s="137"/>
      <c r="B495" s="136" t="s">
        <v>1235</v>
      </c>
      <c r="C495" s="136" t="s">
        <v>1236</v>
      </c>
      <c r="D495" s="137"/>
      <c r="E495" s="137"/>
      <c r="F495" s="138"/>
      <c r="G495" s="158">
        <v>1.2</v>
      </c>
      <c r="H495" s="258">
        <v>31</v>
      </c>
      <c r="I495" s="256">
        <v>30</v>
      </c>
      <c r="J495" s="254">
        <v>30.6</v>
      </c>
      <c r="K495" s="466"/>
      <c r="L495" s="440"/>
      <c r="M495" s="492"/>
      <c r="Q495" s="419"/>
      <c r="T495" s="8">
        <f t="shared" si="11"/>
        <v>6.0975609756097563E-3</v>
      </c>
    </row>
    <row r="496" spans="1:20" hidden="1" outlineLevel="1" x14ac:dyDescent="0.25">
      <c r="A496" s="137"/>
      <c r="B496" s="136" t="s">
        <v>1237</v>
      </c>
      <c r="C496" s="137" t="s">
        <v>1238</v>
      </c>
      <c r="D496" s="137"/>
      <c r="E496" s="137"/>
      <c r="F496" s="138"/>
      <c r="G496" s="376">
        <v>0.1</v>
      </c>
      <c r="H496" s="375">
        <v>1</v>
      </c>
      <c r="I496" s="159" t="s">
        <v>610</v>
      </c>
      <c r="J496" s="254">
        <v>39.6</v>
      </c>
      <c r="K496" s="466"/>
      <c r="L496" s="440"/>
      <c r="M496" s="492"/>
      <c r="Q496" s="419"/>
      <c r="T496" s="8" t="e">
        <f t="shared" si="11"/>
        <v>#VALUE!</v>
      </c>
    </row>
    <row r="497" spans="1:20" hidden="1" outlineLevel="1" x14ac:dyDescent="0.25">
      <c r="A497" s="137"/>
      <c r="B497" s="136" t="s">
        <v>1239</v>
      </c>
      <c r="C497" s="136" t="s">
        <v>1240</v>
      </c>
      <c r="D497" s="137"/>
      <c r="E497" s="137"/>
      <c r="F497" s="138"/>
      <c r="G497" s="158">
        <v>0.3</v>
      </c>
      <c r="H497" s="258">
        <v>8</v>
      </c>
      <c r="I497" s="256">
        <v>30</v>
      </c>
      <c r="J497" s="254">
        <v>60.2</v>
      </c>
      <c r="K497" s="466"/>
      <c r="L497" s="440"/>
      <c r="M497" s="492"/>
      <c r="Q497" s="419"/>
      <c r="T497" s="8">
        <f t="shared" si="11"/>
        <v>6.0975609756097563E-3</v>
      </c>
    </row>
    <row r="498" spans="1:20" hidden="1" outlineLevel="1" x14ac:dyDescent="0.25">
      <c r="A498" s="137"/>
      <c r="B498" s="136" t="s">
        <v>1241</v>
      </c>
      <c r="C498" s="137" t="s">
        <v>1242</v>
      </c>
      <c r="D498" s="137"/>
      <c r="E498" s="137"/>
      <c r="F498" s="138"/>
      <c r="G498" s="376">
        <v>0</v>
      </c>
      <c r="H498" s="375">
        <v>0</v>
      </c>
      <c r="I498" s="159" t="s">
        <v>610</v>
      </c>
      <c r="J498" s="254">
        <v>99</v>
      </c>
      <c r="K498" s="466"/>
      <c r="L498" s="440"/>
      <c r="M498" s="492"/>
      <c r="Q498" s="419"/>
      <c r="T498" s="8" t="e">
        <f t="shared" si="11"/>
        <v>#VALUE!</v>
      </c>
    </row>
    <row r="499" spans="1:20" hidden="1" outlineLevel="1" x14ac:dyDescent="0.25">
      <c r="A499" s="137"/>
      <c r="B499" s="136" t="s">
        <v>1243</v>
      </c>
      <c r="C499" s="136" t="s">
        <v>1244</v>
      </c>
      <c r="D499" s="137"/>
      <c r="E499" s="137"/>
      <c r="F499" s="137"/>
      <c r="G499" s="158">
        <v>0.3</v>
      </c>
      <c r="H499" s="258">
        <v>9</v>
      </c>
      <c r="I499" s="256">
        <v>40</v>
      </c>
      <c r="J499" s="254">
        <v>26.1</v>
      </c>
      <c r="K499" s="466"/>
      <c r="L499" s="440"/>
      <c r="M499" s="492"/>
      <c r="Q499" s="419"/>
      <c r="T499" s="8">
        <f t="shared" si="11"/>
        <v>8.130081300813009E-3</v>
      </c>
    </row>
    <row r="500" spans="1:20" hidden="1" outlineLevel="1" x14ac:dyDescent="0.25">
      <c r="A500" s="137"/>
      <c r="B500" s="201" t="s">
        <v>1245</v>
      </c>
      <c r="C500" s="137" t="s">
        <v>1246</v>
      </c>
      <c r="D500" s="137"/>
      <c r="E500" s="137"/>
      <c r="F500" s="138"/>
      <c r="G500" s="376">
        <v>0.3</v>
      </c>
      <c r="H500" s="375">
        <v>8</v>
      </c>
      <c r="I500" s="159" t="s">
        <v>610</v>
      </c>
      <c r="J500" s="254">
        <v>50.6</v>
      </c>
      <c r="K500" s="466"/>
      <c r="L500" s="440"/>
      <c r="M500" s="492"/>
      <c r="Q500" s="419"/>
      <c r="T500" s="8" t="e">
        <f t="shared" si="11"/>
        <v>#VALUE!</v>
      </c>
    </row>
    <row r="501" spans="1:20" hidden="1" outlineLevel="1" x14ac:dyDescent="0.25">
      <c r="A501" s="137"/>
      <c r="B501" s="201" t="s">
        <v>1247</v>
      </c>
      <c r="C501" s="137" t="s">
        <v>1248</v>
      </c>
      <c r="D501" s="137"/>
      <c r="E501" s="137"/>
      <c r="F501" s="138"/>
      <c r="G501" s="377" t="s">
        <v>645</v>
      </c>
      <c r="H501" s="377" t="s">
        <v>645</v>
      </c>
      <c r="I501" s="377" t="s">
        <v>645</v>
      </c>
      <c r="J501" s="377" t="s">
        <v>645</v>
      </c>
      <c r="K501" s="466"/>
      <c r="L501" s="440"/>
      <c r="M501" s="492"/>
      <c r="Q501" s="419"/>
      <c r="T501" s="8" t="e">
        <f t="shared" si="11"/>
        <v>#VALUE!</v>
      </c>
    </row>
    <row r="502" spans="1:20" hidden="1" outlineLevel="1" x14ac:dyDescent="0.25">
      <c r="A502" s="136"/>
      <c r="B502" s="200"/>
      <c r="C502" s="137"/>
      <c r="D502" s="137"/>
      <c r="E502" s="137"/>
      <c r="F502" s="138"/>
      <c r="G502" s="158"/>
      <c r="H502" s="258"/>
      <c r="I502" s="159"/>
      <c r="J502" s="254"/>
      <c r="K502" s="466"/>
      <c r="L502" s="440"/>
      <c r="M502" s="492"/>
      <c r="Q502" s="419"/>
      <c r="T502" s="8">
        <f t="shared" si="11"/>
        <v>0</v>
      </c>
    </row>
    <row r="503" spans="1:20" ht="26.25" hidden="1" outlineLevel="1" x14ac:dyDescent="0.25">
      <c r="A503" s="155">
        <v>9.3000000000000007</v>
      </c>
      <c r="B503" s="155" t="s">
        <v>1249</v>
      </c>
      <c r="C503" s="135"/>
      <c r="D503" s="135"/>
      <c r="E503" s="135"/>
      <c r="F503" s="118"/>
      <c r="G503" s="158">
        <v>11.9</v>
      </c>
      <c r="H503" s="258">
        <v>323</v>
      </c>
      <c r="I503" s="159">
        <v>3310</v>
      </c>
      <c r="J503" s="254">
        <v>3.2</v>
      </c>
      <c r="K503" s="466"/>
      <c r="L503" s="446" t="str">
        <f>B503</f>
        <v>Other recreational items and equipment, gardens and pets</v>
      </c>
      <c r="M503" s="541">
        <f>G503*50%</f>
        <v>5.95</v>
      </c>
      <c r="O503" s="116"/>
      <c r="P503" s="116"/>
      <c r="Q503" s="418" t="s">
        <v>975</v>
      </c>
      <c r="R503" s="116" t="s">
        <v>1250</v>
      </c>
      <c r="T503" s="8">
        <f t="shared" si="11"/>
        <v>0.67276422764227639</v>
      </c>
    </row>
    <row r="504" spans="1:20" hidden="1" outlineLevel="1" x14ac:dyDescent="0.25">
      <c r="A504" s="137"/>
      <c r="B504" s="136" t="s">
        <v>1251</v>
      </c>
      <c r="C504" s="201" t="s">
        <v>1252</v>
      </c>
      <c r="D504" s="137"/>
      <c r="E504" s="137"/>
      <c r="F504" s="138"/>
      <c r="G504" s="158">
        <v>2.7</v>
      </c>
      <c r="H504" s="258">
        <v>73</v>
      </c>
      <c r="I504" s="159">
        <v>1270</v>
      </c>
      <c r="J504" s="254">
        <v>6.2</v>
      </c>
      <c r="K504" s="466"/>
      <c r="L504" s="440"/>
      <c r="M504" s="492"/>
      <c r="Q504" s="419"/>
      <c r="T504" s="8">
        <f t="shared" si="11"/>
        <v>0.258130081300813</v>
      </c>
    </row>
    <row r="505" spans="1:20" hidden="1" outlineLevel="1" x14ac:dyDescent="0.25">
      <c r="A505" s="137"/>
      <c r="B505" s="136" t="s">
        <v>1253</v>
      </c>
      <c r="C505" s="136" t="s">
        <v>1254</v>
      </c>
      <c r="D505" s="137"/>
      <c r="E505" s="137"/>
      <c r="F505" s="138"/>
      <c r="G505" s="158">
        <v>0.8</v>
      </c>
      <c r="H505" s="258">
        <v>23</v>
      </c>
      <c r="I505" s="159">
        <v>190</v>
      </c>
      <c r="J505" s="254">
        <v>11.9</v>
      </c>
      <c r="K505" s="466"/>
      <c r="L505" s="440"/>
      <c r="M505" s="492"/>
      <c r="Q505" s="419"/>
      <c r="T505" s="8">
        <f t="shared" si="11"/>
        <v>3.8617886178861791E-2</v>
      </c>
    </row>
    <row r="506" spans="1:20" hidden="1" outlineLevel="1" x14ac:dyDescent="0.25">
      <c r="A506" s="137"/>
      <c r="B506" s="200"/>
      <c r="C506" s="201" t="s">
        <v>1255</v>
      </c>
      <c r="D506" s="136" t="s">
        <v>1256</v>
      </c>
      <c r="E506" s="136"/>
      <c r="F506" s="138"/>
      <c r="G506" s="158">
        <v>0.6</v>
      </c>
      <c r="H506" s="258">
        <v>15</v>
      </c>
      <c r="I506" s="159">
        <v>170</v>
      </c>
      <c r="J506" s="254">
        <v>10.199999999999999</v>
      </c>
      <c r="K506" s="466"/>
      <c r="L506" s="440"/>
      <c r="M506" s="492"/>
      <c r="Q506" s="419"/>
      <c r="T506" s="8">
        <f t="shared" si="11"/>
        <v>3.4552845528455285E-2</v>
      </c>
    </row>
    <row r="507" spans="1:20" hidden="1" outlineLevel="1" x14ac:dyDescent="0.25">
      <c r="A507" s="210"/>
      <c r="B507" s="200"/>
      <c r="C507" s="201" t="s">
        <v>1257</v>
      </c>
      <c r="D507" s="136" t="s">
        <v>1258</v>
      </c>
      <c r="E507" s="136"/>
      <c r="F507" s="138"/>
      <c r="G507" s="158">
        <v>0.3</v>
      </c>
      <c r="H507" s="258">
        <v>7</v>
      </c>
      <c r="I507" s="159">
        <v>30</v>
      </c>
      <c r="J507" s="254">
        <v>27.4</v>
      </c>
      <c r="K507" s="466"/>
      <c r="L507" s="440"/>
      <c r="M507" s="492"/>
      <c r="Q507" s="419"/>
      <c r="T507" s="8">
        <f t="shared" si="11"/>
        <v>6.0975609756097563E-3</v>
      </c>
    </row>
    <row r="508" spans="1:20" hidden="1" outlineLevel="1" x14ac:dyDescent="0.25">
      <c r="A508" s="137"/>
      <c r="B508" s="136" t="s">
        <v>1259</v>
      </c>
      <c r="C508" s="136" t="s">
        <v>1260</v>
      </c>
      <c r="D508" s="200"/>
      <c r="E508" s="200"/>
      <c r="F508" s="138"/>
      <c r="G508" s="158">
        <v>1.2</v>
      </c>
      <c r="H508" s="258">
        <v>32</v>
      </c>
      <c r="I508" s="159">
        <v>380</v>
      </c>
      <c r="J508" s="254">
        <v>14</v>
      </c>
      <c r="K508" s="466"/>
      <c r="L508" s="440"/>
      <c r="M508" s="492"/>
      <c r="Q508" s="419"/>
      <c r="T508" s="8">
        <f t="shared" si="11"/>
        <v>7.7235772357723581E-2</v>
      </c>
    </row>
    <row r="509" spans="1:20" hidden="1" outlineLevel="1" x14ac:dyDescent="0.25">
      <c r="A509" s="137"/>
      <c r="B509" s="136"/>
      <c r="C509" s="136"/>
      <c r="D509" s="200"/>
      <c r="E509" s="200"/>
      <c r="F509" s="138"/>
      <c r="G509" s="158"/>
      <c r="H509" s="258"/>
      <c r="I509" s="159"/>
      <c r="J509" s="254"/>
      <c r="K509" s="466"/>
      <c r="L509" s="440"/>
      <c r="M509" s="492"/>
      <c r="Q509" s="419"/>
      <c r="T509" s="8">
        <f t="shared" si="11"/>
        <v>0</v>
      </c>
    </row>
    <row r="510" spans="1:20" hidden="1" outlineLevel="1" x14ac:dyDescent="0.25">
      <c r="A510" s="137"/>
      <c r="B510" s="136" t="s">
        <v>1261</v>
      </c>
      <c r="C510" s="136" t="s">
        <v>1262</v>
      </c>
      <c r="D510" s="137"/>
      <c r="E510" s="137"/>
      <c r="F510" s="138"/>
      <c r="G510" s="158">
        <v>2.6</v>
      </c>
      <c r="H510" s="258">
        <v>70</v>
      </c>
      <c r="I510" s="159">
        <v>1710</v>
      </c>
      <c r="J510" s="254">
        <v>3.8</v>
      </c>
      <c r="K510" s="466"/>
      <c r="L510" s="440"/>
      <c r="M510" s="492"/>
      <c r="Q510" s="419"/>
      <c r="T510" s="8">
        <f t="shared" si="11"/>
        <v>0.34756097560975607</v>
      </c>
    </row>
    <row r="511" spans="1:20" hidden="1" outlineLevel="1" x14ac:dyDescent="0.25">
      <c r="A511" s="137"/>
      <c r="B511" s="136"/>
      <c r="C511" s="136" t="s">
        <v>1263</v>
      </c>
      <c r="D511" s="137" t="s">
        <v>1264</v>
      </c>
      <c r="E511" s="137"/>
      <c r="F511" s="138"/>
      <c r="G511" s="158">
        <v>0.1</v>
      </c>
      <c r="H511" s="258">
        <v>3</v>
      </c>
      <c r="I511" s="159">
        <v>30</v>
      </c>
      <c r="J511" s="254">
        <v>29</v>
      </c>
      <c r="K511" s="466"/>
      <c r="L511" s="440"/>
      <c r="M511" s="492"/>
      <c r="Q511" s="419"/>
      <c r="T511" s="8">
        <f t="shared" si="11"/>
        <v>6.0975609756097563E-3</v>
      </c>
    </row>
    <row r="512" spans="1:20" hidden="1" outlineLevel="1" x14ac:dyDescent="0.25">
      <c r="A512" s="137"/>
      <c r="B512" s="136"/>
      <c r="C512" s="136" t="s">
        <v>1265</v>
      </c>
      <c r="D512" s="137" t="s">
        <v>1266</v>
      </c>
      <c r="E512" s="137"/>
      <c r="F512" s="138"/>
      <c r="G512" s="158">
        <v>2.2999999999999998</v>
      </c>
      <c r="H512" s="258">
        <v>63</v>
      </c>
      <c r="I512" s="159">
        <v>1640</v>
      </c>
      <c r="J512" s="254">
        <v>3.9</v>
      </c>
      <c r="K512" s="466"/>
      <c r="L512" s="440"/>
      <c r="M512" s="492"/>
      <c r="Q512" s="419"/>
      <c r="T512" s="8">
        <f t="shared" si="11"/>
        <v>0.33333333333333331</v>
      </c>
    </row>
    <row r="513" spans="1:20" hidden="1" outlineLevel="1" x14ac:dyDescent="0.25">
      <c r="A513" s="137"/>
      <c r="B513" s="136"/>
      <c r="C513" s="136" t="s">
        <v>1267</v>
      </c>
      <c r="D513" s="136" t="s">
        <v>1268</v>
      </c>
      <c r="E513" s="136"/>
      <c r="F513" s="138"/>
      <c r="G513" s="158">
        <v>0.1</v>
      </c>
      <c r="H513" s="258">
        <v>3</v>
      </c>
      <c r="I513" s="159">
        <v>90</v>
      </c>
      <c r="J513" s="254">
        <v>17.5</v>
      </c>
      <c r="K513" s="466"/>
      <c r="L513" s="440"/>
      <c r="M513" s="492"/>
      <c r="Q513" s="419"/>
      <c r="T513" s="8">
        <f t="shared" si="11"/>
        <v>1.8292682926829267E-2</v>
      </c>
    </row>
    <row r="514" spans="1:20" hidden="1" outlineLevel="1" x14ac:dyDescent="0.25">
      <c r="A514" s="137"/>
      <c r="B514" s="136"/>
      <c r="C514" s="136" t="s">
        <v>1269</v>
      </c>
      <c r="D514" s="136" t="s">
        <v>1270</v>
      </c>
      <c r="E514" s="136"/>
      <c r="F514" s="138"/>
      <c r="G514" s="158">
        <v>0</v>
      </c>
      <c r="H514" s="258">
        <v>1</v>
      </c>
      <c r="I514" s="159">
        <v>40</v>
      </c>
      <c r="J514" s="254">
        <v>25.2</v>
      </c>
      <c r="K514" s="466"/>
      <c r="L514" s="440"/>
      <c r="M514" s="492"/>
      <c r="Q514" s="419"/>
      <c r="T514" s="8">
        <f t="shared" si="11"/>
        <v>8.130081300813009E-3</v>
      </c>
    </row>
    <row r="515" spans="1:20" hidden="1" outlineLevel="1" x14ac:dyDescent="0.25">
      <c r="A515" s="137"/>
      <c r="B515" s="136"/>
      <c r="C515" s="136"/>
      <c r="D515" s="206"/>
      <c r="E515" s="206"/>
      <c r="F515" s="138"/>
      <c r="G515" s="158"/>
      <c r="H515" s="353"/>
      <c r="I515" s="198"/>
      <c r="J515" s="199"/>
      <c r="K515" s="466"/>
      <c r="L515" s="440"/>
      <c r="M515" s="492"/>
      <c r="Q515" s="419"/>
      <c r="T515" s="8">
        <f t="shared" si="11"/>
        <v>0</v>
      </c>
    </row>
    <row r="516" spans="1:20" hidden="1" outlineLevel="1" x14ac:dyDescent="0.25">
      <c r="A516" s="137"/>
      <c r="B516" s="136" t="s">
        <v>1271</v>
      </c>
      <c r="C516" s="136" t="s">
        <v>1272</v>
      </c>
      <c r="D516" s="137"/>
      <c r="E516" s="137"/>
      <c r="F516" s="138"/>
      <c r="G516" s="158">
        <v>4.5999999999999996</v>
      </c>
      <c r="H516" s="258">
        <v>125</v>
      </c>
      <c r="I516" s="159">
        <v>1880</v>
      </c>
      <c r="J516" s="254">
        <v>4.4000000000000004</v>
      </c>
      <c r="K516" s="466"/>
      <c r="L516" s="440"/>
      <c r="M516" s="492"/>
      <c r="Q516" s="419"/>
      <c r="T516" s="8">
        <f t="shared" si="11"/>
        <v>0.38211382113821141</v>
      </c>
    </row>
    <row r="517" spans="1:20" hidden="1" outlineLevel="1" x14ac:dyDescent="0.25">
      <c r="A517" s="137"/>
      <c r="B517" s="200"/>
      <c r="C517" s="201" t="s">
        <v>1273</v>
      </c>
      <c r="D517" s="136" t="s">
        <v>1274</v>
      </c>
      <c r="E517" s="136"/>
      <c r="F517" s="138"/>
      <c r="G517" s="158">
        <v>2.5</v>
      </c>
      <c r="H517" s="258">
        <v>67</v>
      </c>
      <c r="I517" s="159">
        <v>1760</v>
      </c>
      <c r="J517" s="254">
        <v>3.8</v>
      </c>
      <c r="K517" s="466"/>
      <c r="L517" s="440"/>
      <c r="M517" s="492"/>
      <c r="Q517" s="419"/>
      <c r="T517" s="8">
        <f t="shared" si="11"/>
        <v>0.35772357723577236</v>
      </c>
    </row>
    <row r="518" spans="1:20" hidden="1" outlineLevel="1" x14ac:dyDescent="0.25">
      <c r="A518" s="137"/>
      <c r="B518" s="200"/>
      <c r="C518" s="201" t="s">
        <v>1275</v>
      </c>
      <c r="D518" s="136" t="s">
        <v>1276</v>
      </c>
      <c r="E518" s="136"/>
      <c r="F518" s="138"/>
      <c r="G518" s="158">
        <v>0.9</v>
      </c>
      <c r="H518" s="258">
        <v>25</v>
      </c>
      <c r="I518" s="159">
        <v>620</v>
      </c>
      <c r="J518" s="254">
        <v>11</v>
      </c>
      <c r="K518" s="466"/>
      <c r="L518" s="440"/>
      <c r="M518" s="492"/>
      <c r="Q518" s="419"/>
      <c r="T518" s="8">
        <f t="shared" si="11"/>
        <v>0.12601626016260162</v>
      </c>
    </row>
    <row r="519" spans="1:20" hidden="1" outlineLevel="1" x14ac:dyDescent="0.25">
      <c r="A519" s="137"/>
      <c r="B519" s="136"/>
      <c r="C519" s="136" t="s">
        <v>1277</v>
      </c>
      <c r="D519" s="136" t="s">
        <v>1278</v>
      </c>
      <c r="E519" s="136"/>
      <c r="F519" s="138"/>
      <c r="G519" s="158">
        <v>1.2</v>
      </c>
      <c r="H519" s="258">
        <v>32</v>
      </c>
      <c r="I519" s="159">
        <v>190</v>
      </c>
      <c r="J519" s="254">
        <v>9.8000000000000007</v>
      </c>
      <c r="K519" s="466"/>
      <c r="L519" s="440"/>
      <c r="M519" s="492"/>
      <c r="Q519" s="419"/>
      <c r="T519" s="8">
        <f t="shared" si="11"/>
        <v>3.8617886178861791E-2</v>
      </c>
    </row>
    <row r="520" spans="1:20" hidden="1" outlineLevel="1" x14ac:dyDescent="0.25">
      <c r="A520" s="214"/>
      <c r="B520" s="213"/>
      <c r="C520" s="213"/>
      <c r="D520" s="282"/>
      <c r="E520" s="282"/>
      <c r="F520" s="274"/>
      <c r="G520" s="316"/>
      <c r="H520" s="365"/>
      <c r="I520" s="317"/>
      <c r="J520" s="328"/>
      <c r="K520" s="466"/>
      <c r="L520" s="440"/>
      <c r="M520" s="484"/>
      <c r="Q520" s="419"/>
      <c r="T520" s="8">
        <f t="shared" si="11"/>
        <v>0</v>
      </c>
    </row>
    <row r="521" spans="1:20" hidden="1" outlineLevel="1" x14ac:dyDescent="0.25">
      <c r="A521" s="137"/>
      <c r="B521" s="136"/>
      <c r="C521" s="136"/>
      <c r="D521" s="206"/>
      <c r="E521" s="206"/>
      <c r="F521" s="138"/>
      <c r="G521" s="197"/>
      <c r="H521" s="353"/>
      <c r="I521" s="198"/>
      <c r="J521" s="315"/>
      <c r="K521" s="466"/>
      <c r="L521" s="440"/>
      <c r="M521" s="484"/>
      <c r="Q521" s="419"/>
      <c r="T521" s="8">
        <f t="shared" si="11"/>
        <v>0</v>
      </c>
    </row>
    <row r="522" spans="1:20" hidden="1" outlineLevel="1" x14ac:dyDescent="0.25">
      <c r="A522" s="43" t="s">
        <v>775</v>
      </c>
      <c r="B522" s="200"/>
      <c r="C522" s="136"/>
      <c r="D522" s="137"/>
      <c r="E522" s="202"/>
      <c r="F522" s="204"/>
      <c r="G522" s="197"/>
      <c r="H522" s="353"/>
      <c r="I522" s="198"/>
      <c r="J522" s="315"/>
      <c r="K522" s="466"/>
      <c r="L522" s="440"/>
      <c r="M522" s="484"/>
      <c r="Q522" s="419"/>
      <c r="T522" s="8">
        <f t="shared" si="11"/>
        <v>0</v>
      </c>
    </row>
    <row r="523" spans="1:20" hidden="1" outlineLevel="1" x14ac:dyDescent="0.25">
      <c r="A523" s="43" t="s">
        <v>776</v>
      </c>
      <c r="B523" s="200"/>
      <c r="C523" s="136"/>
      <c r="D523" s="137"/>
      <c r="E523" s="202"/>
      <c r="F523" s="204"/>
      <c r="G523" s="197"/>
      <c r="H523" s="353"/>
      <c r="I523" s="198"/>
      <c r="J523" s="315"/>
      <c r="K523" s="466"/>
      <c r="L523" s="440"/>
      <c r="M523" s="484"/>
      <c r="Q523" s="419"/>
      <c r="T523" s="8">
        <f t="shared" si="11"/>
        <v>0</v>
      </c>
    </row>
    <row r="524" spans="1:20" hidden="1" outlineLevel="1" x14ac:dyDescent="0.25">
      <c r="A524" s="43" t="s">
        <v>613</v>
      </c>
      <c r="B524" s="200"/>
      <c r="C524" s="136"/>
      <c r="D524" s="137"/>
      <c r="E524" s="202"/>
      <c r="F524" s="204"/>
      <c r="G524" s="197"/>
      <c r="H524" s="353"/>
      <c r="I524" s="198"/>
      <c r="J524" s="315"/>
      <c r="K524" s="466"/>
      <c r="L524" s="440"/>
      <c r="M524" s="484"/>
      <c r="Q524" s="419"/>
      <c r="T524" s="8">
        <f t="shared" si="11"/>
        <v>0</v>
      </c>
    </row>
    <row r="525" spans="1:20" hidden="1" outlineLevel="1" x14ac:dyDescent="0.25">
      <c r="A525" s="205"/>
      <c r="B525" s="372"/>
      <c r="C525" s="372"/>
      <c r="D525" s="372"/>
      <c r="E525" s="372"/>
      <c r="F525" s="202"/>
      <c r="G525" s="197"/>
      <c r="H525" s="371"/>
      <c r="I525" s="198"/>
      <c r="J525" s="219"/>
      <c r="K525" s="466"/>
      <c r="L525" s="440"/>
      <c r="M525" s="493"/>
      <c r="Q525" s="419"/>
      <c r="T525" s="8">
        <f t="shared" si="11"/>
        <v>0</v>
      </c>
    </row>
    <row r="526" spans="1:20" hidden="1" outlineLevel="1" x14ac:dyDescent="0.25">
      <c r="A526" s="220"/>
      <c r="B526" s="136"/>
      <c r="C526" s="136"/>
      <c r="D526" s="206"/>
      <c r="E526" s="206"/>
      <c r="F526" s="138"/>
      <c r="G526" s="197"/>
      <c r="H526" s="353"/>
      <c r="I526" s="198"/>
      <c r="J526" s="219"/>
      <c r="K526" s="466"/>
      <c r="L526" s="440"/>
      <c r="M526" s="484"/>
      <c r="Q526" s="419"/>
      <c r="T526" s="8">
        <f t="shared" si="11"/>
        <v>0</v>
      </c>
    </row>
    <row r="527" spans="1:20" hidden="1" outlineLevel="1" x14ac:dyDescent="0.25">
      <c r="A527" s="137"/>
      <c r="B527" s="136"/>
      <c r="C527" s="136"/>
      <c r="D527" s="206"/>
      <c r="E527" s="206"/>
      <c r="F527" s="138"/>
      <c r="G527" s="197"/>
      <c r="H527" s="353"/>
      <c r="I527" s="198"/>
      <c r="J527" s="219"/>
      <c r="K527" s="466"/>
      <c r="L527" s="440"/>
      <c r="M527" s="484"/>
      <c r="Q527" s="419"/>
      <c r="T527" s="8">
        <f t="shared" si="11"/>
        <v>0</v>
      </c>
    </row>
    <row r="528" spans="1:20" ht="15.75" hidden="1" outlineLevel="1" x14ac:dyDescent="0.25">
      <c r="A528" s="334" t="s">
        <v>648</v>
      </c>
      <c r="B528" s="136"/>
      <c r="C528" s="136"/>
      <c r="D528" s="206"/>
      <c r="E528" s="206"/>
      <c r="F528" s="138"/>
      <c r="G528" s="252"/>
      <c r="H528" s="366"/>
      <c r="I528" s="318"/>
      <c r="J528" s="319"/>
      <c r="K528" s="466"/>
      <c r="L528" s="440"/>
      <c r="M528" s="484"/>
      <c r="Q528" s="419"/>
      <c r="T528" s="8">
        <f t="shared" si="11"/>
        <v>0</v>
      </c>
    </row>
    <row r="529" spans="1:20" ht="35.25" hidden="1" outlineLevel="1" x14ac:dyDescent="0.25">
      <c r="A529" s="103" t="s">
        <v>777</v>
      </c>
      <c r="B529" s="119"/>
      <c r="C529" s="126"/>
      <c r="D529" s="121"/>
      <c r="E529" s="121"/>
      <c r="F529" s="122"/>
      <c r="G529" s="303"/>
      <c r="H529" s="355"/>
      <c r="I529" s="304"/>
      <c r="J529" s="320"/>
      <c r="K529" s="466"/>
      <c r="L529" s="440"/>
      <c r="M529" s="485"/>
      <c r="Q529" s="419"/>
      <c r="T529" s="8">
        <f t="shared" si="11"/>
        <v>0</v>
      </c>
    </row>
    <row r="530" spans="1:20" ht="18.75" hidden="1" outlineLevel="1" x14ac:dyDescent="0.25">
      <c r="A530" s="339" t="s">
        <v>643</v>
      </c>
      <c r="B530" s="340"/>
      <c r="C530" s="337"/>
      <c r="D530" s="338"/>
      <c r="E530" s="121"/>
      <c r="F530" s="122"/>
      <c r="G530" s="303"/>
      <c r="H530" s="355"/>
      <c r="I530" s="304"/>
      <c r="J530" s="320"/>
      <c r="K530" s="472"/>
      <c r="L530" s="442"/>
      <c r="M530" s="485"/>
      <c r="Q530" s="419"/>
      <c r="T530" s="8">
        <f t="shared" ref="T530:T593" si="12">I530/$I$11</f>
        <v>0</v>
      </c>
    </row>
    <row r="531" spans="1:20" hidden="1" outlineLevel="1" x14ac:dyDescent="0.25">
      <c r="A531" s="129"/>
      <c r="B531" s="129"/>
      <c r="C531" s="130"/>
      <c r="D531" s="131"/>
      <c r="E531" s="131"/>
      <c r="F531" s="131"/>
      <c r="G531" s="132"/>
      <c r="H531" s="348"/>
      <c r="I531" s="133"/>
      <c r="J531" s="300"/>
      <c r="K531" s="472"/>
      <c r="L531" s="442"/>
      <c r="M531" s="501"/>
      <c r="Q531" s="419"/>
      <c r="T531" s="8">
        <f t="shared" si="12"/>
        <v>0</v>
      </c>
    </row>
    <row r="532" spans="1:20" hidden="1" outlineLevel="1" x14ac:dyDescent="0.25">
      <c r="A532" s="128"/>
      <c r="B532" s="128"/>
      <c r="C532" s="137"/>
      <c r="D532" s="138"/>
      <c r="E532" s="138"/>
      <c r="F532" s="138"/>
      <c r="G532" s="137"/>
      <c r="H532" s="362"/>
      <c r="I532" s="137"/>
      <c r="J532" s="137"/>
      <c r="K532" s="472"/>
      <c r="L532" s="442"/>
      <c r="M532" s="484"/>
      <c r="Q532" s="419"/>
      <c r="T532" s="8">
        <f t="shared" si="12"/>
        <v>0</v>
      </c>
    </row>
    <row r="533" spans="1:20" hidden="1" outlineLevel="1" x14ac:dyDescent="0.25">
      <c r="A533" s="224"/>
      <c r="B533" s="224"/>
      <c r="C533" s="225"/>
      <c r="D533" s="226"/>
      <c r="E533" s="226"/>
      <c r="F533" s="144"/>
      <c r="G533" s="145" t="s">
        <v>650</v>
      </c>
      <c r="H533" s="345" t="s">
        <v>284</v>
      </c>
      <c r="I533" s="145" t="s">
        <v>651</v>
      </c>
      <c r="J533" s="145" t="s">
        <v>652</v>
      </c>
      <c r="K533" s="472"/>
      <c r="L533" s="442"/>
      <c r="M533" s="486"/>
      <c r="Q533" s="419"/>
      <c r="T533" s="8" t="e">
        <f t="shared" si="12"/>
        <v>#VALUE!</v>
      </c>
    </row>
    <row r="534" spans="1:20" hidden="1" outlineLevel="1" x14ac:dyDescent="0.25">
      <c r="A534" s="224"/>
      <c r="B534" s="224"/>
      <c r="C534" s="227"/>
      <c r="D534" s="226"/>
      <c r="E534" s="226"/>
      <c r="F534" s="144"/>
      <c r="G534" s="145" t="s">
        <v>653</v>
      </c>
      <c r="H534" s="345" t="s">
        <v>654</v>
      </c>
      <c r="I534" s="145" t="s">
        <v>655</v>
      </c>
      <c r="J534" s="145" t="s">
        <v>656</v>
      </c>
      <c r="K534" s="473"/>
      <c r="L534" s="443"/>
      <c r="M534" s="486"/>
      <c r="Q534" s="419"/>
      <c r="T534" s="8" t="e">
        <f t="shared" si="12"/>
        <v>#VALUE!</v>
      </c>
    </row>
    <row r="535" spans="1:20" hidden="1" outlineLevel="1" x14ac:dyDescent="0.25">
      <c r="A535" s="224"/>
      <c r="B535" s="224"/>
      <c r="C535" s="227"/>
      <c r="D535" s="226"/>
      <c r="E535" s="226"/>
      <c r="F535" s="144"/>
      <c r="G535" s="145" t="s">
        <v>657</v>
      </c>
      <c r="H535" s="345" t="s">
        <v>653</v>
      </c>
      <c r="I535" s="145" t="s">
        <v>658</v>
      </c>
      <c r="J535" s="145" t="s">
        <v>659</v>
      </c>
      <c r="K535" s="473"/>
      <c r="L535" s="443"/>
      <c r="M535" s="486"/>
      <c r="Q535" s="419"/>
      <c r="T535" s="8" t="e">
        <f t="shared" si="12"/>
        <v>#VALUE!</v>
      </c>
    </row>
    <row r="536" spans="1:20" hidden="1" outlineLevel="1" x14ac:dyDescent="0.25">
      <c r="A536" s="224"/>
      <c r="B536" s="224"/>
      <c r="C536" s="227"/>
      <c r="D536" s="226"/>
      <c r="E536" s="226"/>
      <c r="F536" s="144"/>
      <c r="G536" s="145" t="s">
        <v>660</v>
      </c>
      <c r="H536" s="345" t="s">
        <v>661</v>
      </c>
      <c r="I536" s="145" t="s">
        <v>662</v>
      </c>
      <c r="J536" s="145" t="s">
        <v>663</v>
      </c>
      <c r="K536" s="473"/>
      <c r="L536" s="443"/>
      <c r="M536" s="486"/>
      <c r="Q536" s="419"/>
      <c r="T536" s="8" t="e">
        <f t="shared" si="12"/>
        <v>#VALUE!</v>
      </c>
    </row>
    <row r="537" spans="1:20" hidden="1" outlineLevel="1" x14ac:dyDescent="0.25">
      <c r="A537" s="129"/>
      <c r="B537" s="129"/>
      <c r="C537" s="130"/>
      <c r="D537" s="131"/>
      <c r="E537" s="131"/>
      <c r="F537" s="131"/>
      <c r="G537" s="153"/>
      <c r="H537" s="346"/>
      <c r="I537" s="154"/>
      <c r="J537" s="323"/>
      <c r="K537" s="473"/>
      <c r="L537" s="443"/>
      <c r="M537" s="501"/>
      <c r="Q537" s="419"/>
      <c r="T537" s="8">
        <f t="shared" si="12"/>
        <v>0</v>
      </c>
    </row>
    <row r="538" spans="1:20" hidden="1" outlineLevel="1" x14ac:dyDescent="0.25">
      <c r="A538" s="118"/>
      <c r="B538" s="128"/>
      <c r="C538" s="156"/>
      <c r="D538" s="157"/>
      <c r="E538" s="157"/>
      <c r="F538" s="138"/>
      <c r="G538" s="321"/>
      <c r="H538" s="367"/>
      <c r="I538" s="322"/>
      <c r="J538" s="182"/>
      <c r="K538" s="473"/>
      <c r="L538" s="443"/>
      <c r="M538" s="501"/>
      <c r="Q538" s="419"/>
      <c r="T538" s="8">
        <f t="shared" si="12"/>
        <v>0</v>
      </c>
    </row>
    <row r="539" spans="1:20" hidden="1" outlineLevel="1" x14ac:dyDescent="0.25">
      <c r="A539" s="174" t="s">
        <v>607</v>
      </c>
      <c r="B539" s="175"/>
      <c r="C539" s="176"/>
      <c r="D539" s="164"/>
      <c r="E539" s="164"/>
      <c r="F539" s="177" t="s">
        <v>536</v>
      </c>
      <c r="G539" s="171"/>
      <c r="H539" s="349"/>
      <c r="I539" s="172"/>
      <c r="J539" s="173"/>
      <c r="K539" s="473"/>
      <c r="L539" s="443"/>
      <c r="M539" s="502"/>
      <c r="Q539" s="419"/>
      <c r="T539" s="8">
        <f t="shared" si="12"/>
        <v>0</v>
      </c>
    </row>
    <row r="540" spans="1:20" hidden="1" outlineLevel="1" x14ac:dyDescent="0.25">
      <c r="A540" s="137"/>
      <c r="B540" s="136"/>
      <c r="C540" s="136"/>
      <c r="D540" s="206"/>
      <c r="E540" s="206"/>
      <c r="F540" s="138"/>
      <c r="G540" s="158"/>
      <c r="H540" s="258"/>
      <c r="I540" s="159"/>
      <c r="J540" s="254"/>
      <c r="K540" s="473"/>
      <c r="L540" s="443"/>
      <c r="M540" s="484"/>
      <c r="Q540" s="419"/>
      <c r="T540" s="8">
        <f t="shared" si="12"/>
        <v>0</v>
      </c>
    </row>
    <row r="541" spans="1:20" hidden="1" outlineLevel="1" x14ac:dyDescent="0.25">
      <c r="A541" s="234">
        <v>9</v>
      </c>
      <c r="B541" s="234" t="s">
        <v>1279</v>
      </c>
      <c r="C541" s="283"/>
      <c r="D541" s="283"/>
      <c r="E541" s="283"/>
      <c r="F541" s="138"/>
      <c r="G541" s="158"/>
      <c r="H541" s="258"/>
      <c r="I541" s="159"/>
      <c r="J541" s="315"/>
      <c r="K541" s="473"/>
      <c r="L541" s="454"/>
      <c r="M541" s="484"/>
      <c r="Q541" s="419"/>
      <c r="T541" s="8">
        <f t="shared" si="12"/>
        <v>0</v>
      </c>
    </row>
    <row r="542" spans="1:20" hidden="1" outlineLevel="1" x14ac:dyDescent="0.25">
      <c r="A542" s="180"/>
      <c r="B542" s="180"/>
      <c r="C542" s="136"/>
      <c r="D542" s="136"/>
      <c r="E542" s="136"/>
      <c r="F542" s="138"/>
      <c r="G542" s="158"/>
      <c r="H542" s="258"/>
      <c r="I542" s="159"/>
      <c r="J542" s="254"/>
      <c r="K542" s="473"/>
      <c r="L542" s="443"/>
      <c r="M542" s="484"/>
      <c r="Q542" s="419"/>
      <c r="T542" s="8">
        <f t="shared" si="12"/>
        <v>0</v>
      </c>
    </row>
    <row r="543" spans="1:20" hidden="1" outlineLevel="1" x14ac:dyDescent="0.25">
      <c r="A543" s="155">
        <v>9.4</v>
      </c>
      <c r="B543" s="155" t="s">
        <v>1280</v>
      </c>
      <c r="C543" s="195"/>
      <c r="D543" s="135"/>
      <c r="E543" s="135"/>
      <c r="F543" s="284"/>
      <c r="G543" s="158">
        <v>20.2</v>
      </c>
      <c r="H543" s="258">
        <v>551</v>
      </c>
      <c r="I543" s="159">
        <v>4640</v>
      </c>
      <c r="J543" s="257">
        <v>2.2000000000000002</v>
      </c>
      <c r="K543" s="473"/>
      <c r="L543" s="454" t="str">
        <f>B543</f>
        <v>Recreational and cultural services</v>
      </c>
      <c r="M543" s="541">
        <f>SUBTOTAL(9,M544:M576)</f>
        <v>0</v>
      </c>
      <c r="O543" s="116"/>
      <c r="P543" s="116"/>
      <c r="Q543" s="418" t="s">
        <v>975</v>
      </c>
      <c r="R543" s="116" t="s">
        <v>1281</v>
      </c>
      <c r="T543" s="8">
        <f t="shared" si="12"/>
        <v>0.94308943089430897</v>
      </c>
    </row>
    <row r="544" spans="1:20" hidden="1" outlineLevel="1" x14ac:dyDescent="0.25">
      <c r="A544" s="137"/>
      <c r="B544" s="136" t="s">
        <v>1282</v>
      </c>
      <c r="C544" s="201" t="s">
        <v>1283</v>
      </c>
      <c r="D544" s="137"/>
      <c r="E544" s="137"/>
      <c r="F544" s="138"/>
      <c r="G544" s="158">
        <v>6.7</v>
      </c>
      <c r="H544" s="258">
        <v>182</v>
      </c>
      <c r="I544" s="159">
        <v>1860</v>
      </c>
      <c r="J544" s="257">
        <v>4.3</v>
      </c>
      <c r="K544" s="473"/>
      <c r="L544" s="443"/>
      <c r="M544" s="507">
        <f>G544*50%</f>
        <v>3.35</v>
      </c>
      <c r="Q544" s="419"/>
      <c r="R544" t="s">
        <v>1250</v>
      </c>
      <c r="T544" s="8">
        <f t="shared" si="12"/>
        <v>0.37804878048780488</v>
      </c>
    </row>
    <row r="545" spans="1:20" hidden="1" outlineLevel="1" x14ac:dyDescent="0.25">
      <c r="A545" s="137"/>
      <c r="B545" s="200"/>
      <c r="C545" s="201" t="s">
        <v>1284</v>
      </c>
      <c r="D545" s="137" t="s">
        <v>1285</v>
      </c>
      <c r="E545" s="137"/>
      <c r="F545" s="138"/>
      <c r="G545" s="158">
        <v>0.8</v>
      </c>
      <c r="H545" s="258">
        <v>21</v>
      </c>
      <c r="I545" s="159">
        <v>140</v>
      </c>
      <c r="J545" s="257">
        <v>16.2</v>
      </c>
      <c r="K545" s="473"/>
      <c r="L545" s="443"/>
      <c r="M545"/>
      <c r="Q545" s="419"/>
      <c r="T545" s="8">
        <f t="shared" si="12"/>
        <v>2.8455284552845527E-2</v>
      </c>
    </row>
    <row r="546" spans="1:20" hidden="1" outlineLevel="1" x14ac:dyDescent="0.25">
      <c r="A546" s="137"/>
      <c r="B546" s="136"/>
      <c r="C546" s="201" t="s">
        <v>1286</v>
      </c>
      <c r="D546" s="137" t="s">
        <v>1287</v>
      </c>
      <c r="E546" s="137"/>
      <c r="F546" s="138"/>
      <c r="G546" s="158">
        <v>1</v>
      </c>
      <c r="H546" s="258">
        <v>28</v>
      </c>
      <c r="I546" s="159">
        <v>640</v>
      </c>
      <c r="J546" s="254">
        <v>6.5</v>
      </c>
      <c r="K546" s="473"/>
      <c r="L546" s="443"/>
      <c r="M546"/>
      <c r="Q546" s="419"/>
      <c r="T546" s="8">
        <f t="shared" si="12"/>
        <v>0.13008130081300814</v>
      </c>
    </row>
    <row r="547" spans="1:20" hidden="1" outlineLevel="1" x14ac:dyDescent="0.25">
      <c r="A547" s="137"/>
      <c r="B547" s="200"/>
      <c r="C547" s="201" t="s">
        <v>1288</v>
      </c>
      <c r="D547" s="137" t="s">
        <v>1289</v>
      </c>
      <c r="E547" s="137"/>
      <c r="F547" s="138"/>
      <c r="G547" s="158">
        <v>2.4</v>
      </c>
      <c r="H547" s="258">
        <v>65</v>
      </c>
      <c r="I547" s="159">
        <v>890</v>
      </c>
      <c r="J547" s="254">
        <v>8</v>
      </c>
      <c r="K547" s="473"/>
      <c r="L547" s="443"/>
      <c r="M547"/>
      <c r="Q547" s="419"/>
      <c r="T547" s="8">
        <f t="shared" si="12"/>
        <v>0.18089430894308944</v>
      </c>
    </row>
    <row r="548" spans="1:20" hidden="1" outlineLevel="1" x14ac:dyDescent="0.25">
      <c r="A548" s="137"/>
      <c r="B548" s="200"/>
      <c r="C548" s="201" t="s">
        <v>1290</v>
      </c>
      <c r="D548" s="137" t="s">
        <v>1291</v>
      </c>
      <c r="E548" s="137"/>
      <c r="F548" s="138"/>
      <c r="G548" s="158">
        <v>2.4</v>
      </c>
      <c r="H548" s="258">
        <v>66</v>
      </c>
      <c r="I548" s="159">
        <v>830</v>
      </c>
      <c r="J548" s="254">
        <v>6.3</v>
      </c>
      <c r="K548" s="473"/>
      <c r="L548" s="443"/>
      <c r="M548"/>
      <c r="Q548" s="419"/>
      <c r="T548" s="8">
        <f t="shared" si="12"/>
        <v>0.16869918699186992</v>
      </c>
    </row>
    <row r="549" spans="1:20" hidden="1" outlineLevel="1" x14ac:dyDescent="0.25">
      <c r="A549" s="137"/>
      <c r="B549" s="200"/>
      <c r="C549" s="201" t="s">
        <v>1292</v>
      </c>
      <c r="D549" s="137" t="s">
        <v>1293</v>
      </c>
      <c r="E549" s="137"/>
      <c r="F549" s="138"/>
      <c r="G549" s="158">
        <v>0.1</v>
      </c>
      <c r="H549" s="258">
        <v>2</v>
      </c>
      <c r="I549" s="159">
        <v>40</v>
      </c>
      <c r="J549" s="254">
        <v>27.8</v>
      </c>
      <c r="K549" s="473"/>
      <c r="L549" s="443"/>
      <c r="M549"/>
      <c r="Q549" s="419"/>
      <c r="T549" s="8">
        <f t="shared" si="12"/>
        <v>8.130081300813009E-3</v>
      </c>
    </row>
    <row r="550" spans="1:20" hidden="1" outlineLevel="1" x14ac:dyDescent="0.25">
      <c r="A550" s="200"/>
      <c r="B550" s="201"/>
      <c r="C550" s="137"/>
      <c r="D550" s="137"/>
      <c r="E550" s="137"/>
      <c r="F550" s="138"/>
      <c r="G550" s="158"/>
      <c r="H550" s="258"/>
      <c r="I550" s="159"/>
      <c r="J550" s="254"/>
      <c r="K550" s="474"/>
      <c r="L550" s="444"/>
      <c r="M550"/>
      <c r="Q550" s="419"/>
      <c r="T550" s="8">
        <f t="shared" si="12"/>
        <v>0</v>
      </c>
    </row>
    <row r="551" spans="1:20" hidden="1" outlineLevel="1" x14ac:dyDescent="0.25">
      <c r="A551" s="137"/>
      <c r="B551" s="136" t="s">
        <v>1294</v>
      </c>
      <c r="C551" s="201" t="s">
        <v>1295</v>
      </c>
      <c r="D551" s="137"/>
      <c r="E551" s="137"/>
      <c r="F551" s="138"/>
      <c r="G551" s="158">
        <v>2.6</v>
      </c>
      <c r="H551" s="258">
        <v>70</v>
      </c>
      <c r="I551" s="159">
        <v>810</v>
      </c>
      <c r="J551" s="254">
        <v>6.3</v>
      </c>
      <c r="K551" s="474"/>
      <c r="L551" s="444"/>
      <c r="M551" s="507">
        <f>G551*50%</f>
        <v>1.3</v>
      </c>
      <c r="Q551" s="419"/>
      <c r="R551" t="s">
        <v>1250</v>
      </c>
      <c r="T551" s="8">
        <f t="shared" si="12"/>
        <v>0.16463414634146342</v>
      </c>
    </row>
    <row r="552" spans="1:20" hidden="1" outlineLevel="1" x14ac:dyDescent="0.25">
      <c r="A552" s="137"/>
      <c r="B552" s="200"/>
      <c r="C552" s="201" t="s">
        <v>1296</v>
      </c>
      <c r="D552" s="137" t="s">
        <v>1297</v>
      </c>
      <c r="E552" s="137"/>
      <c r="F552" s="138"/>
      <c r="G552" s="158">
        <v>0.7</v>
      </c>
      <c r="H552" s="258">
        <v>20</v>
      </c>
      <c r="I552" s="159">
        <v>430</v>
      </c>
      <c r="J552" s="254">
        <v>6</v>
      </c>
      <c r="K552" s="474"/>
      <c r="L552" s="444"/>
      <c r="M552"/>
      <c r="Q552" s="419"/>
      <c r="T552" s="8">
        <f t="shared" si="12"/>
        <v>8.7398373983739841E-2</v>
      </c>
    </row>
    <row r="553" spans="1:20" hidden="1" outlineLevel="1" x14ac:dyDescent="0.25">
      <c r="A553" s="137"/>
      <c r="B553" s="136"/>
      <c r="C553" s="136" t="s">
        <v>1298</v>
      </c>
      <c r="D553" s="136" t="s">
        <v>1299</v>
      </c>
      <c r="E553" s="136"/>
      <c r="F553" s="138"/>
      <c r="G553" s="158">
        <v>1.1000000000000001</v>
      </c>
      <c r="H553" s="258">
        <v>31</v>
      </c>
      <c r="I553" s="159">
        <v>240</v>
      </c>
      <c r="J553" s="254">
        <v>10.199999999999999</v>
      </c>
      <c r="K553" s="474"/>
      <c r="L553" s="444"/>
      <c r="M553"/>
      <c r="Q553" s="419"/>
      <c r="T553" s="8">
        <f t="shared" si="12"/>
        <v>4.878048780487805E-2</v>
      </c>
    </row>
    <row r="554" spans="1:20" hidden="1" outlineLevel="1" x14ac:dyDescent="0.25">
      <c r="A554" s="137"/>
      <c r="B554" s="136"/>
      <c r="C554" s="136" t="s">
        <v>1300</v>
      </c>
      <c r="D554" s="136" t="s">
        <v>1301</v>
      </c>
      <c r="E554" s="136"/>
      <c r="F554" s="138"/>
      <c r="G554" s="158">
        <v>0.7</v>
      </c>
      <c r="H554" s="258">
        <v>18</v>
      </c>
      <c r="I554" s="159">
        <v>240</v>
      </c>
      <c r="J554" s="254">
        <v>12.5</v>
      </c>
      <c r="K554" s="475"/>
      <c r="L554" s="445"/>
      <c r="M554"/>
      <c r="Q554" s="419"/>
      <c r="T554" s="8">
        <f t="shared" si="12"/>
        <v>4.878048780487805E-2</v>
      </c>
    </row>
    <row r="555" spans="1:20" hidden="1" outlineLevel="1" x14ac:dyDescent="0.25">
      <c r="A555" s="137"/>
      <c r="B555" s="136"/>
      <c r="C555" s="200"/>
      <c r="D555" s="137"/>
      <c r="E555" s="137"/>
      <c r="F555" s="138"/>
      <c r="G555" s="158"/>
      <c r="H555" s="258"/>
      <c r="I555" s="159"/>
      <c r="J555" s="254"/>
      <c r="K555" s="475"/>
      <c r="L555" s="445"/>
      <c r="M555"/>
      <c r="Q555" s="419"/>
      <c r="T555" s="8">
        <f t="shared" si="12"/>
        <v>0</v>
      </c>
    </row>
    <row r="556" spans="1:20" hidden="1" outlineLevel="1" x14ac:dyDescent="0.25">
      <c r="A556" s="210"/>
      <c r="B556" s="136" t="s">
        <v>1302</v>
      </c>
      <c r="C556" s="136" t="s">
        <v>1303</v>
      </c>
      <c r="D556" s="136"/>
      <c r="E556" s="136"/>
      <c r="F556" s="138"/>
      <c r="G556" s="404">
        <v>6.8</v>
      </c>
      <c r="H556" s="258">
        <v>185</v>
      </c>
      <c r="I556" s="159">
        <v>4360</v>
      </c>
      <c r="J556" s="254">
        <v>1.4</v>
      </c>
      <c r="K556" s="475"/>
      <c r="L556" s="445"/>
      <c r="M556"/>
      <c r="Q556" s="419"/>
      <c r="T556" s="8">
        <f t="shared" si="12"/>
        <v>0.88617886178861793</v>
      </c>
    </row>
    <row r="557" spans="1:20" hidden="1" outlineLevel="1" x14ac:dyDescent="0.25">
      <c r="A557" s="137"/>
      <c r="B557" s="136"/>
      <c r="C557" s="136" t="s">
        <v>1304</v>
      </c>
      <c r="D557" s="136" t="s">
        <v>1305</v>
      </c>
      <c r="E557" s="136"/>
      <c r="F557" s="138"/>
      <c r="G557" s="158">
        <v>2.2999999999999998</v>
      </c>
      <c r="H557" s="258">
        <v>61</v>
      </c>
      <c r="I557" s="159">
        <v>4070</v>
      </c>
      <c r="J557" s="254">
        <v>0.5</v>
      </c>
      <c r="K557" s="475"/>
      <c r="L557" s="445"/>
      <c r="M557"/>
      <c r="Q557" s="419"/>
      <c r="T557" s="8">
        <f t="shared" si="12"/>
        <v>0.82723577235772361</v>
      </c>
    </row>
    <row r="558" spans="1:20" hidden="1" outlineLevel="1" x14ac:dyDescent="0.25">
      <c r="A558" s="137"/>
      <c r="B558" s="136"/>
      <c r="C558" s="136" t="s">
        <v>1306</v>
      </c>
      <c r="D558" s="137" t="s">
        <v>1307</v>
      </c>
      <c r="E558" s="137"/>
      <c r="F558" s="138"/>
      <c r="G558" s="158">
        <v>3.4</v>
      </c>
      <c r="H558" s="258">
        <v>92</v>
      </c>
      <c r="I558" s="159">
        <v>1990</v>
      </c>
      <c r="J558" s="254">
        <v>2.5</v>
      </c>
      <c r="K558" s="475"/>
      <c r="L558" s="445"/>
      <c r="M558"/>
      <c r="Q558" s="419"/>
      <c r="T558" s="8">
        <f t="shared" si="12"/>
        <v>0.40447154471544716</v>
      </c>
    </row>
    <row r="559" spans="1:20" hidden="1" outlineLevel="1" x14ac:dyDescent="0.25">
      <c r="A559" s="137"/>
      <c r="B559" s="136"/>
      <c r="C559" s="136" t="s">
        <v>1308</v>
      </c>
      <c r="D559" s="136" t="s">
        <v>1309</v>
      </c>
      <c r="E559" s="136"/>
      <c r="F559" s="138"/>
      <c r="G559" s="376">
        <v>0</v>
      </c>
      <c r="H559" s="375">
        <v>0</v>
      </c>
      <c r="I559" s="159">
        <v>10</v>
      </c>
      <c r="J559" s="254">
        <v>32.4</v>
      </c>
      <c r="K559" s="475"/>
      <c r="L559" s="445"/>
      <c r="M559"/>
      <c r="Q559" s="419"/>
      <c r="T559" s="8">
        <f t="shared" si="12"/>
        <v>2.0325203252032522E-3</v>
      </c>
    </row>
    <row r="560" spans="1:20" hidden="1" outlineLevel="1" x14ac:dyDescent="0.25">
      <c r="A560" s="137"/>
      <c r="B560" s="136"/>
      <c r="C560" s="136" t="s">
        <v>1310</v>
      </c>
      <c r="D560" s="137" t="s">
        <v>1311</v>
      </c>
      <c r="E560" s="137"/>
      <c r="F560" s="138"/>
      <c r="G560" s="158">
        <v>1</v>
      </c>
      <c r="H560" s="258">
        <v>28</v>
      </c>
      <c r="I560" s="159">
        <v>710</v>
      </c>
      <c r="J560" s="254">
        <v>5.0999999999999996</v>
      </c>
      <c r="K560" s="475"/>
      <c r="L560" s="445"/>
      <c r="M560"/>
      <c r="Q560" s="419"/>
      <c r="T560" s="8">
        <f t="shared" si="12"/>
        <v>0.1443089430894309</v>
      </c>
    </row>
    <row r="561" spans="1:20" hidden="1" outlineLevel="1" x14ac:dyDescent="0.25">
      <c r="A561" s="137"/>
      <c r="B561" s="136"/>
      <c r="C561" s="136" t="s">
        <v>1312</v>
      </c>
      <c r="D561" s="136" t="s">
        <v>1313</v>
      </c>
      <c r="E561" s="136"/>
      <c r="F561" s="138"/>
      <c r="G561" s="376">
        <v>0</v>
      </c>
      <c r="H561" s="375">
        <v>0</v>
      </c>
      <c r="I561" s="159" t="s">
        <v>610</v>
      </c>
      <c r="J561" s="254">
        <v>61.4</v>
      </c>
      <c r="K561" s="475"/>
      <c r="L561" s="445"/>
      <c r="M561"/>
      <c r="Q561" s="419"/>
      <c r="T561" s="8" t="e">
        <f t="shared" si="12"/>
        <v>#VALUE!</v>
      </c>
    </row>
    <row r="562" spans="1:20" hidden="1" outlineLevel="1" x14ac:dyDescent="0.25">
      <c r="A562" s="137"/>
      <c r="B562" s="136"/>
      <c r="C562" s="136" t="s">
        <v>1314</v>
      </c>
      <c r="D562" s="136" t="s">
        <v>1315</v>
      </c>
      <c r="E562" s="136"/>
      <c r="F562" s="138"/>
      <c r="G562" s="158">
        <v>0.1</v>
      </c>
      <c r="H562" s="258">
        <v>3</v>
      </c>
      <c r="I562" s="159">
        <v>230</v>
      </c>
      <c r="J562" s="254">
        <v>10.5</v>
      </c>
      <c r="K562" s="475"/>
      <c r="L562" s="445"/>
      <c r="M562"/>
      <c r="Q562" s="419"/>
      <c r="T562" s="8">
        <f t="shared" si="12"/>
        <v>4.6747967479674794E-2</v>
      </c>
    </row>
    <row r="563" spans="1:20" hidden="1" outlineLevel="1" x14ac:dyDescent="0.25">
      <c r="A563" s="137"/>
      <c r="B563" s="136"/>
      <c r="C563" s="200"/>
      <c r="D563" s="137"/>
      <c r="E563" s="137"/>
      <c r="F563" s="138"/>
      <c r="G563" s="158"/>
      <c r="H563" s="258"/>
      <c r="I563" s="159"/>
      <c r="J563" s="254"/>
      <c r="K563" s="475"/>
      <c r="L563" s="445"/>
      <c r="M563"/>
      <c r="Q563" s="419"/>
      <c r="T563" s="8">
        <f t="shared" si="12"/>
        <v>0</v>
      </c>
    </row>
    <row r="564" spans="1:20" hidden="1" outlineLevel="1" x14ac:dyDescent="0.25">
      <c r="A564" s="137"/>
      <c r="B564" s="136" t="s">
        <v>1316</v>
      </c>
      <c r="C564" s="136" t="s">
        <v>1317</v>
      </c>
      <c r="D564" s="137"/>
      <c r="E564" s="137"/>
      <c r="F564" s="138"/>
      <c r="G564" s="158">
        <v>1.4</v>
      </c>
      <c r="H564" s="258">
        <v>39</v>
      </c>
      <c r="I564" s="159">
        <v>1040</v>
      </c>
      <c r="J564" s="254">
        <v>8.8000000000000007</v>
      </c>
      <c r="K564" s="475"/>
      <c r="L564" s="445"/>
      <c r="M564" s="507">
        <f>G564</f>
        <v>1.4</v>
      </c>
      <c r="Q564" s="419"/>
      <c r="T564" s="8">
        <f t="shared" si="12"/>
        <v>0.21138211382113822</v>
      </c>
    </row>
    <row r="565" spans="1:20" hidden="1" outlineLevel="1" x14ac:dyDescent="0.25">
      <c r="A565" s="137"/>
      <c r="B565" s="136"/>
      <c r="C565" s="136" t="s">
        <v>1318</v>
      </c>
      <c r="D565" s="136" t="s">
        <v>1319</v>
      </c>
      <c r="E565" s="136"/>
      <c r="F565" s="138"/>
      <c r="G565" s="158">
        <v>0.6</v>
      </c>
      <c r="H565" s="258">
        <v>17</v>
      </c>
      <c r="I565" s="159">
        <v>380</v>
      </c>
      <c r="J565" s="254">
        <v>10.8</v>
      </c>
      <c r="K565" s="475"/>
      <c r="L565" s="445"/>
      <c r="M565"/>
      <c r="Q565" s="419"/>
      <c r="T565" s="8">
        <f t="shared" si="12"/>
        <v>7.7235772357723581E-2</v>
      </c>
    </row>
    <row r="566" spans="1:20" hidden="1" outlineLevel="1" x14ac:dyDescent="0.25">
      <c r="A566" s="137"/>
      <c r="B566" s="200"/>
      <c r="C566" s="201" t="s">
        <v>1320</v>
      </c>
      <c r="D566" s="137" t="s">
        <v>1321</v>
      </c>
      <c r="E566" s="137"/>
      <c r="F566" s="138"/>
      <c r="G566" s="158">
        <v>0.3</v>
      </c>
      <c r="H566" s="258">
        <v>8</v>
      </c>
      <c r="I566" s="159">
        <v>160</v>
      </c>
      <c r="J566" s="254">
        <v>30.9</v>
      </c>
      <c r="K566" s="475"/>
      <c r="L566" s="445"/>
      <c r="M566"/>
      <c r="Q566" s="419"/>
      <c r="T566" s="8">
        <f t="shared" si="12"/>
        <v>3.2520325203252036E-2</v>
      </c>
    </row>
    <row r="567" spans="1:20" hidden="1" outlineLevel="1" x14ac:dyDescent="0.25">
      <c r="A567" s="137"/>
      <c r="B567" s="200"/>
      <c r="C567" s="201" t="s">
        <v>1322</v>
      </c>
      <c r="D567" s="137" t="s">
        <v>1323</v>
      </c>
      <c r="E567" s="137"/>
      <c r="F567" s="138"/>
      <c r="G567" s="158">
        <v>0.5</v>
      </c>
      <c r="H567" s="258">
        <v>14</v>
      </c>
      <c r="I567" s="159">
        <v>650</v>
      </c>
      <c r="J567" s="254">
        <v>9.5</v>
      </c>
      <c r="K567" s="475"/>
      <c r="L567" s="445"/>
      <c r="M567"/>
      <c r="Q567" s="419"/>
      <c r="T567" s="8">
        <f t="shared" si="12"/>
        <v>0.13211382113821138</v>
      </c>
    </row>
    <row r="568" spans="1:20" hidden="1" outlineLevel="1" x14ac:dyDescent="0.25">
      <c r="A568" s="200"/>
      <c r="B568" s="201"/>
      <c r="C568" s="137"/>
      <c r="D568" s="137"/>
      <c r="E568" s="137"/>
      <c r="F568" s="138"/>
      <c r="G568" s="171"/>
      <c r="H568" s="258"/>
      <c r="I568" s="159"/>
      <c r="J568" s="254"/>
      <c r="K568" s="475"/>
      <c r="L568" s="445"/>
      <c r="M568"/>
      <c r="Q568" s="419"/>
      <c r="T568" s="8">
        <f t="shared" si="12"/>
        <v>0</v>
      </c>
    </row>
    <row r="569" spans="1:20" hidden="1" outlineLevel="1" x14ac:dyDescent="0.25">
      <c r="A569" s="137"/>
      <c r="B569" s="136" t="s">
        <v>1324</v>
      </c>
      <c r="C569" s="201" t="s">
        <v>1325</v>
      </c>
      <c r="D569" s="137"/>
      <c r="E569" s="137"/>
      <c r="F569" s="138"/>
      <c r="G569" s="171"/>
      <c r="H569" s="349"/>
      <c r="I569" s="172"/>
      <c r="J569" s="254"/>
      <c r="K569" s="475"/>
      <c r="L569" s="445"/>
      <c r="M569"/>
      <c r="Q569" s="419"/>
      <c r="T569" s="8">
        <f t="shared" si="12"/>
        <v>0</v>
      </c>
    </row>
    <row r="570" spans="1:20" hidden="1" outlineLevel="1" x14ac:dyDescent="0.25">
      <c r="A570" s="137"/>
      <c r="B570" s="200"/>
      <c r="C570" s="201" t="s">
        <v>1326</v>
      </c>
      <c r="D570" s="137"/>
      <c r="E570" s="137"/>
      <c r="F570" s="138"/>
      <c r="G570" s="171">
        <v>0.2</v>
      </c>
      <c r="H570" s="258">
        <v>6</v>
      </c>
      <c r="I570" s="172">
        <v>130</v>
      </c>
      <c r="J570" s="254">
        <v>14.9</v>
      </c>
      <c r="K570" s="475"/>
      <c r="L570" s="445"/>
      <c r="M570" s="507">
        <f>G570*50%</f>
        <v>0.1</v>
      </c>
      <c r="Q570" s="419"/>
      <c r="R570" t="s">
        <v>1250</v>
      </c>
      <c r="T570" s="8">
        <f t="shared" si="12"/>
        <v>2.6422764227642278E-2</v>
      </c>
    </row>
    <row r="571" spans="1:20" hidden="1" outlineLevel="1" x14ac:dyDescent="0.25">
      <c r="A571" s="155"/>
      <c r="B571" s="155"/>
      <c r="C571" s="135"/>
      <c r="D571" s="249"/>
      <c r="E571" s="249"/>
      <c r="F571" s="249"/>
      <c r="G571" s="171"/>
      <c r="H571" s="349"/>
      <c r="I571" s="172"/>
      <c r="J571" s="254"/>
      <c r="K571" s="475"/>
      <c r="L571" s="445"/>
      <c r="M571"/>
      <c r="Q571" s="419"/>
      <c r="T571" s="8">
        <f t="shared" si="12"/>
        <v>0</v>
      </c>
    </row>
    <row r="572" spans="1:20" hidden="1" outlineLevel="1" x14ac:dyDescent="0.25">
      <c r="A572" s="136"/>
      <c r="B572" s="136" t="s">
        <v>1327</v>
      </c>
      <c r="C572" s="201" t="s">
        <v>1328</v>
      </c>
      <c r="D572" s="137"/>
      <c r="E572" s="137"/>
      <c r="F572" s="138"/>
      <c r="G572" s="171">
        <v>2.6</v>
      </c>
      <c r="H572" s="349">
        <v>70</v>
      </c>
      <c r="I572" s="172">
        <v>1760</v>
      </c>
      <c r="J572" s="254">
        <v>4.4000000000000004</v>
      </c>
      <c r="K572" s="475"/>
      <c r="L572" s="445"/>
      <c r="M572" s="507">
        <f>G572</f>
        <v>2.6</v>
      </c>
      <c r="Q572" s="419"/>
      <c r="T572" s="8">
        <f t="shared" si="12"/>
        <v>0.35772357723577236</v>
      </c>
    </row>
    <row r="573" spans="1:20" hidden="1" outlineLevel="1" x14ac:dyDescent="0.25">
      <c r="A573" s="136"/>
      <c r="B573" s="136"/>
      <c r="C573" s="136" t="s">
        <v>1329</v>
      </c>
      <c r="D573" s="138" t="s">
        <v>1330</v>
      </c>
      <c r="E573" s="138"/>
      <c r="F573" s="138"/>
      <c r="G573" s="376">
        <v>0</v>
      </c>
      <c r="H573" s="375">
        <v>0</v>
      </c>
      <c r="I573" s="172">
        <v>20</v>
      </c>
      <c r="J573" s="254">
        <v>33.9</v>
      </c>
      <c r="K573" s="475"/>
      <c r="L573" s="445"/>
      <c r="M573"/>
      <c r="Q573" s="419"/>
      <c r="T573" s="8">
        <f t="shared" si="12"/>
        <v>4.0650406504065045E-3</v>
      </c>
    </row>
    <row r="574" spans="1:20" hidden="1" outlineLevel="1" x14ac:dyDescent="0.25">
      <c r="A574" s="136"/>
      <c r="B574" s="136"/>
      <c r="C574" s="136" t="s">
        <v>1331</v>
      </c>
      <c r="D574" s="136" t="s">
        <v>1332</v>
      </c>
      <c r="E574" s="136"/>
      <c r="F574" s="138"/>
      <c r="G574" s="171">
        <v>0.2</v>
      </c>
      <c r="H574" s="349">
        <v>6</v>
      </c>
      <c r="I574" s="172">
        <v>90</v>
      </c>
      <c r="J574" s="254">
        <v>19.2</v>
      </c>
      <c r="K574" s="475"/>
      <c r="L574" s="445"/>
      <c r="M574"/>
      <c r="Q574" s="419"/>
      <c r="T574" s="8">
        <f t="shared" si="12"/>
        <v>1.8292682926829267E-2</v>
      </c>
    </row>
    <row r="575" spans="1:20" hidden="1" outlineLevel="1" x14ac:dyDescent="0.25">
      <c r="A575" s="200"/>
      <c r="B575" s="137"/>
      <c r="C575" s="201" t="s">
        <v>1333</v>
      </c>
      <c r="D575" s="137" t="s">
        <v>1334</v>
      </c>
      <c r="E575" s="137"/>
      <c r="F575" s="138"/>
      <c r="G575" s="171">
        <v>1.8</v>
      </c>
      <c r="H575" s="349">
        <v>48</v>
      </c>
      <c r="I575" s="172">
        <v>1540</v>
      </c>
      <c r="J575" s="254">
        <v>3.7</v>
      </c>
      <c r="K575" s="475"/>
      <c r="L575" s="445"/>
      <c r="M575"/>
      <c r="Q575" s="419"/>
      <c r="T575" s="8">
        <f t="shared" si="12"/>
        <v>0.31300813008130079</v>
      </c>
    </row>
    <row r="576" spans="1:20" hidden="1" outlineLevel="1" x14ac:dyDescent="0.25">
      <c r="A576" s="200"/>
      <c r="B576" s="137"/>
      <c r="C576" s="201" t="s">
        <v>1335</v>
      </c>
      <c r="D576" s="137" t="s">
        <v>1336</v>
      </c>
      <c r="E576" s="137"/>
      <c r="F576" s="138"/>
      <c r="G576" s="158">
        <v>0.6</v>
      </c>
      <c r="H576" s="258">
        <v>16</v>
      </c>
      <c r="I576" s="159">
        <v>400</v>
      </c>
      <c r="J576" s="254">
        <v>13</v>
      </c>
      <c r="K576" s="475"/>
      <c r="L576" s="445"/>
      <c r="M576"/>
      <c r="Q576" s="419"/>
      <c r="T576" s="8">
        <f t="shared" si="12"/>
        <v>8.1300813008130079E-2</v>
      </c>
    </row>
    <row r="577" spans="1:20" hidden="1" outlineLevel="1" x14ac:dyDescent="0.25">
      <c r="A577" s="136"/>
      <c r="B577" s="200"/>
      <c r="C577" s="137"/>
      <c r="D577" s="137"/>
      <c r="E577" s="137"/>
      <c r="F577" s="138"/>
      <c r="G577" s="158"/>
      <c r="H577" s="258"/>
      <c r="I577" s="159"/>
      <c r="J577" s="254"/>
      <c r="K577" s="475"/>
      <c r="L577" s="445"/>
      <c r="M577"/>
      <c r="Q577" s="419"/>
      <c r="T577" s="8">
        <f t="shared" si="12"/>
        <v>0</v>
      </c>
    </row>
    <row r="578" spans="1:20" hidden="1" outlineLevel="1" x14ac:dyDescent="0.25">
      <c r="A578" s="155">
        <v>9.5</v>
      </c>
      <c r="B578" s="155" t="s">
        <v>1337</v>
      </c>
      <c r="C578" s="135"/>
      <c r="D578" s="135"/>
      <c r="E578" s="135"/>
      <c r="F578" s="118"/>
      <c r="G578" s="158">
        <v>5.3</v>
      </c>
      <c r="H578" s="258">
        <v>145</v>
      </c>
      <c r="I578" s="159">
        <v>3770</v>
      </c>
      <c r="J578" s="254">
        <v>2.6</v>
      </c>
      <c r="K578" s="475"/>
      <c r="L578" s="446" t="str">
        <f>B578</f>
        <v>Newspapers, books and stationery</v>
      </c>
      <c r="M578" s="541">
        <f>G578</f>
        <v>5.3</v>
      </c>
      <c r="O578" s="116"/>
      <c r="P578" s="116"/>
      <c r="Q578" s="418" t="s">
        <v>587</v>
      </c>
      <c r="R578" s="116" t="s">
        <v>1338</v>
      </c>
      <c r="T578" s="8">
        <f t="shared" si="12"/>
        <v>0.76626016260162599</v>
      </c>
    </row>
    <row r="579" spans="1:20" hidden="1" outlineLevel="1" x14ac:dyDescent="0.25">
      <c r="A579" s="137"/>
      <c r="B579" s="136" t="s">
        <v>1339</v>
      </c>
      <c r="C579" s="205" t="s">
        <v>1340</v>
      </c>
      <c r="D579" s="137"/>
      <c r="E579" s="137"/>
      <c r="F579" s="138"/>
      <c r="G579" s="158">
        <v>1.2</v>
      </c>
      <c r="H579" s="258">
        <v>32</v>
      </c>
      <c r="I579" s="159">
        <v>940</v>
      </c>
      <c r="J579" s="254">
        <v>6.3</v>
      </c>
      <c r="K579" s="475"/>
      <c r="L579" s="445"/>
      <c r="M579" s="505"/>
      <c r="Q579" s="419"/>
      <c r="T579" s="8">
        <f t="shared" si="12"/>
        <v>0.1910569105691057</v>
      </c>
    </row>
    <row r="580" spans="1:20" hidden="1" outlineLevel="1" x14ac:dyDescent="0.25">
      <c r="A580" s="200"/>
      <c r="B580" s="137" t="s">
        <v>1341</v>
      </c>
      <c r="C580" s="136" t="s">
        <v>1342</v>
      </c>
      <c r="D580" s="137"/>
      <c r="E580" s="136"/>
      <c r="F580" s="138"/>
      <c r="G580" s="158">
        <v>0.8</v>
      </c>
      <c r="H580" s="258">
        <v>22</v>
      </c>
      <c r="I580" s="159">
        <v>1210</v>
      </c>
      <c r="J580" s="254">
        <v>4.9000000000000004</v>
      </c>
      <c r="K580" s="475"/>
      <c r="L580" s="445"/>
      <c r="M580" s="505"/>
      <c r="Q580" s="419"/>
      <c r="T580" s="8">
        <f t="shared" si="12"/>
        <v>0.2459349593495935</v>
      </c>
    </row>
    <row r="581" spans="1:20" hidden="1" outlineLevel="1" x14ac:dyDescent="0.25">
      <c r="A581" s="136"/>
      <c r="B581" s="137" t="s">
        <v>1343</v>
      </c>
      <c r="C581" s="136" t="s">
        <v>1344</v>
      </c>
      <c r="D581" s="137"/>
      <c r="E581" s="136"/>
      <c r="F581" s="138"/>
      <c r="G581" s="158">
        <v>1.2</v>
      </c>
      <c r="H581" s="258">
        <v>32</v>
      </c>
      <c r="I581" s="159">
        <v>2100</v>
      </c>
      <c r="J581" s="254">
        <v>4.4000000000000004</v>
      </c>
      <c r="K581" s="475"/>
      <c r="L581" s="445"/>
      <c r="M581" s="505"/>
      <c r="Q581" s="419"/>
      <c r="T581" s="8">
        <f t="shared" si="12"/>
        <v>0.42682926829268292</v>
      </c>
    </row>
    <row r="582" spans="1:20" hidden="1" outlineLevel="1" x14ac:dyDescent="0.25">
      <c r="A582" s="136"/>
      <c r="B582" s="137" t="s">
        <v>1345</v>
      </c>
      <c r="C582" s="136" t="s">
        <v>1346</v>
      </c>
      <c r="D582" s="137"/>
      <c r="E582" s="136"/>
      <c r="F582" s="138"/>
      <c r="G582" s="158">
        <v>1.5</v>
      </c>
      <c r="H582" s="258">
        <v>40</v>
      </c>
      <c r="I582" s="159">
        <v>1930</v>
      </c>
      <c r="J582" s="254">
        <v>3.9</v>
      </c>
      <c r="K582" s="466"/>
      <c r="L582" s="440"/>
      <c r="M582" s="505"/>
      <c r="Q582" s="419"/>
      <c r="T582" s="8">
        <f t="shared" si="12"/>
        <v>0.39227642276422764</v>
      </c>
    </row>
    <row r="583" spans="1:20" hidden="1" outlineLevel="1" x14ac:dyDescent="0.25">
      <c r="A583" s="136"/>
      <c r="B583" s="137" t="s">
        <v>1347</v>
      </c>
      <c r="C583" s="136" t="s">
        <v>1348</v>
      </c>
      <c r="D583" s="137"/>
      <c r="E583" s="137"/>
      <c r="F583" s="138"/>
      <c r="G583" s="158">
        <v>0.7</v>
      </c>
      <c r="H583" s="258">
        <v>19</v>
      </c>
      <c r="I583" s="159">
        <v>1510</v>
      </c>
      <c r="J583" s="254">
        <v>4.4000000000000004</v>
      </c>
      <c r="K583" s="466"/>
      <c r="L583" s="440"/>
      <c r="M583" s="505"/>
      <c r="Q583" s="419"/>
      <c r="T583" s="8">
        <f t="shared" si="12"/>
        <v>0.30691056910569103</v>
      </c>
    </row>
    <row r="584" spans="1:20" hidden="1" outlineLevel="1" x14ac:dyDescent="0.25">
      <c r="A584" s="136"/>
      <c r="B584" s="136"/>
      <c r="C584" s="136"/>
      <c r="D584" s="137"/>
      <c r="E584" s="137"/>
      <c r="F584" s="138"/>
      <c r="G584" s="158"/>
      <c r="H584" s="349"/>
      <c r="I584" s="159"/>
      <c r="J584" s="254"/>
      <c r="K584" s="466"/>
      <c r="L584" s="440"/>
      <c r="M584" s="505"/>
      <c r="Q584" s="419"/>
      <c r="T584" s="8">
        <f t="shared" si="12"/>
        <v>0</v>
      </c>
    </row>
    <row r="585" spans="1:20" hidden="1" outlineLevel="1" x14ac:dyDescent="0.25">
      <c r="A585" s="195">
        <v>9.6</v>
      </c>
      <c r="B585" s="196" t="s">
        <v>1349</v>
      </c>
      <c r="C585" s="195"/>
      <c r="D585" s="135"/>
      <c r="E585" s="135"/>
      <c r="F585" s="118"/>
      <c r="G585" s="158">
        <v>22.1</v>
      </c>
      <c r="H585" s="258">
        <v>603</v>
      </c>
      <c r="I585" s="159">
        <v>970</v>
      </c>
      <c r="J585" s="254">
        <v>4.4000000000000004</v>
      </c>
      <c r="K585" s="466"/>
      <c r="L585" s="441" t="str">
        <f>B585</f>
        <v>Package holidays</v>
      </c>
      <c r="M585" s="541">
        <f>G585</f>
        <v>22.1</v>
      </c>
      <c r="O585" s="116"/>
      <c r="P585" s="116"/>
      <c r="Q585" s="418" t="s">
        <v>587</v>
      </c>
      <c r="R585" s="116" t="s">
        <v>1338</v>
      </c>
      <c r="T585" s="8">
        <f t="shared" si="12"/>
        <v>0.19715447154471544</v>
      </c>
    </row>
    <row r="586" spans="1:20" hidden="1" outlineLevel="1" x14ac:dyDescent="0.25">
      <c r="A586" s="137"/>
      <c r="B586" s="136" t="s">
        <v>1350</v>
      </c>
      <c r="C586" s="136" t="s">
        <v>1351</v>
      </c>
      <c r="D586" s="137"/>
      <c r="E586" s="137"/>
      <c r="F586" s="138"/>
      <c r="G586" s="158">
        <v>1.4</v>
      </c>
      <c r="H586" s="258">
        <v>38</v>
      </c>
      <c r="I586" s="159">
        <v>180</v>
      </c>
      <c r="J586" s="254">
        <v>10.5</v>
      </c>
      <c r="K586" s="466"/>
      <c r="L586" s="440"/>
      <c r="M586" s="505"/>
      <c r="Q586" s="419"/>
      <c r="T586" s="8">
        <f t="shared" si="12"/>
        <v>3.6585365853658534E-2</v>
      </c>
    </row>
    <row r="587" spans="1:20" hidden="1" outlineLevel="1" x14ac:dyDescent="0.25">
      <c r="A587" s="137"/>
      <c r="B587" s="136" t="s">
        <v>1352</v>
      </c>
      <c r="C587" s="136" t="s">
        <v>1353</v>
      </c>
      <c r="D587" s="137"/>
      <c r="E587" s="137"/>
      <c r="F587" s="138"/>
      <c r="G587" s="158">
        <v>20.8</v>
      </c>
      <c r="H587" s="258">
        <v>565</v>
      </c>
      <c r="I587" s="159">
        <v>830</v>
      </c>
      <c r="J587" s="254">
        <v>4.5999999999999996</v>
      </c>
      <c r="K587" s="466"/>
      <c r="L587" s="440"/>
      <c r="M587" s="505"/>
      <c r="Q587" s="419"/>
      <c r="T587" s="8">
        <f t="shared" si="12"/>
        <v>0.16869918699186992</v>
      </c>
    </row>
    <row r="588" spans="1:20" hidden="1" outlineLevel="1" x14ac:dyDescent="0.25">
      <c r="A588" s="136"/>
      <c r="B588" s="200"/>
      <c r="C588" s="200"/>
      <c r="D588" s="137"/>
      <c r="E588" s="137"/>
      <c r="F588" s="138"/>
      <c r="G588" s="158"/>
      <c r="H588" s="285"/>
      <c r="I588" s="159"/>
      <c r="J588" s="254"/>
      <c r="K588" s="466"/>
      <c r="L588" s="440"/>
      <c r="M588" s="505"/>
      <c r="Q588" s="419"/>
      <c r="T588" s="8">
        <f t="shared" si="12"/>
        <v>0</v>
      </c>
    </row>
    <row r="589" spans="1:20" hidden="1" outlineLevel="1" x14ac:dyDescent="0.25">
      <c r="A589" s="200"/>
      <c r="B589" s="201"/>
      <c r="C589" s="200"/>
      <c r="D589" s="137"/>
      <c r="E589" s="137"/>
      <c r="F589" s="138"/>
      <c r="G589" s="280"/>
      <c r="H589" s="379"/>
      <c r="I589" s="281"/>
      <c r="J589" s="330"/>
      <c r="K589" s="466"/>
      <c r="L589" s="440"/>
      <c r="M589" s="505"/>
      <c r="Q589" s="419"/>
      <c r="T589" s="8">
        <f t="shared" si="12"/>
        <v>0</v>
      </c>
    </row>
    <row r="590" spans="1:20" collapsed="1" x14ac:dyDescent="0.25">
      <c r="A590" s="184">
        <v>10</v>
      </c>
      <c r="B590" s="185" t="s">
        <v>519</v>
      </c>
      <c r="C590" s="184"/>
      <c r="D590" s="186"/>
      <c r="E590" s="186"/>
      <c r="F590" s="267"/>
      <c r="G590" s="280">
        <v>7</v>
      </c>
      <c r="H590" s="356">
        <v>192</v>
      </c>
      <c r="I590" s="281">
        <v>270</v>
      </c>
      <c r="J590" s="330">
        <v>14.1</v>
      </c>
      <c r="K590" s="466">
        <v>10</v>
      </c>
      <c r="L590" s="439" t="str">
        <f>B590</f>
        <v>Education</v>
      </c>
      <c r="M590" s="500" t="s">
        <v>1354</v>
      </c>
      <c r="N590" s="391">
        <f>G590</f>
        <v>7</v>
      </c>
      <c r="O590" s="392">
        <v>0.5</v>
      </c>
      <c r="P590" s="392">
        <v>0.5</v>
      </c>
      <c r="Q590" s="417" t="s">
        <v>822</v>
      </c>
      <c r="R590" s="116" t="s">
        <v>1355</v>
      </c>
      <c r="T590" s="8">
        <f t="shared" si="12"/>
        <v>5.4878048780487805E-2</v>
      </c>
    </row>
    <row r="591" spans="1:20" hidden="1" outlineLevel="1" x14ac:dyDescent="0.25">
      <c r="A591" s="195"/>
      <c r="B591" s="196"/>
      <c r="C591" s="195"/>
      <c r="D591" s="135"/>
      <c r="E591" s="135"/>
      <c r="F591" s="249"/>
      <c r="G591" s="158"/>
      <c r="H591" s="258"/>
      <c r="I591" s="159"/>
      <c r="J591" s="254"/>
      <c r="K591" s="466"/>
      <c r="L591" s="440"/>
      <c r="M591" s="531"/>
      <c r="N591" s="532"/>
      <c r="O591" s="529"/>
      <c r="P591" s="405"/>
      <c r="Q591" s="420"/>
      <c r="T591" s="8">
        <f t="shared" si="12"/>
        <v>0</v>
      </c>
    </row>
    <row r="592" spans="1:20" hidden="1" outlineLevel="1" x14ac:dyDescent="0.25">
      <c r="A592" s="286">
        <v>10.1</v>
      </c>
      <c r="B592" s="155" t="s">
        <v>1356</v>
      </c>
      <c r="C592" s="195"/>
      <c r="D592" s="135"/>
      <c r="E592" s="135"/>
      <c r="F592" s="118"/>
      <c r="G592" s="158">
        <v>6.7</v>
      </c>
      <c r="H592" s="258">
        <v>181</v>
      </c>
      <c r="I592" s="159">
        <v>170</v>
      </c>
      <c r="J592" s="254">
        <v>14.8</v>
      </c>
      <c r="K592" s="466"/>
      <c r="L592" s="446" t="str">
        <f>B592</f>
        <v>Education fees</v>
      </c>
      <c r="M592" s="500"/>
      <c r="N592" s="391"/>
      <c r="O592" s="392"/>
      <c r="P592" s="392"/>
      <c r="Q592" s="417"/>
      <c r="R592" s="116"/>
      <c r="T592" s="8">
        <f t="shared" si="12"/>
        <v>3.4552845528455285E-2</v>
      </c>
    </row>
    <row r="593" spans="1:20" hidden="1" outlineLevel="1" x14ac:dyDescent="0.25">
      <c r="A593" s="286"/>
      <c r="B593" s="136" t="s">
        <v>1357</v>
      </c>
      <c r="C593" s="201" t="s">
        <v>1358</v>
      </c>
      <c r="D593" s="135"/>
      <c r="E593" s="135"/>
      <c r="F593" s="118"/>
      <c r="G593" s="158">
        <v>0.8</v>
      </c>
      <c r="H593" s="258">
        <v>23</v>
      </c>
      <c r="I593" s="159">
        <v>20</v>
      </c>
      <c r="J593" s="254">
        <v>30.8</v>
      </c>
      <c r="K593" s="466"/>
      <c r="L593" s="440"/>
      <c r="M593" s="533"/>
      <c r="N593" s="534"/>
      <c r="O593" s="530"/>
      <c r="P593" s="405"/>
      <c r="Q593" s="420"/>
      <c r="T593" s="8">
        <f t="shared" si="12"/>
        <v>4.0650406504065045E-3</v>
      </c>
    </row>
    <row r="594" spans="1:20" hidden="1" outlineLevel="1" x14ac:dyDescent="0.25">
      <c r="A594" s="286"/>
      <c r="B594" s="136" t="s">
        <v>1359</v>
      </c>
      <c r="C594" s="136" t="s">
        <v>1360</v>
      </c>
      <c r="D594" s="135"/>
      <c r="E594" s="135"/>
      <c r="F594" s="118"/>
      <c r="G594" s="158">
        <v>1.5</v>
      </c>
      <c r="H594" s="258">
        <v>40</v>
      </c>
      <c r="I594" s="159">
        <v>20</v>
      </c>
      <c r="J594" s="254">
        <v>33.6</v>
      </c>
      <c r="K594" s="466"/>
      <c r="L594" s="440"/>
      <c r="M594" s="500"/>
      <c r="N594" s="391"/>
      <c r="O594" s="392"/>
      <c r="P594" s="405"/>
      <c r="Q594" s="420"/>
      <c r="T594" s="8">
        <f t="shared" ref="T594:T657" si="13">I594/$I$11</f>
        <v>4.0650406504065045E-3</v>
      </c>
    </row>
    <row r="595" spans="1:20" hidden="1" outlineLevel="1" x14ac:dyDescent="0.25">
      <c r="A595" s="286"/>
      <c r="B595" s="136" t="s">
        <v>1361</v>
      </c>
      <c r="C595" s="136" t="s">
        <v>1362</v>
      </c>
      <c r="D595" s="135"/>
      <c r="E595" s="135"/>
      <c r="F595" s="118"/>
      <c r="G595" s="158">
        <v>0.4</v>
      </c>
      <c r="H595" s="258">
        <v>12</v>
      </c>
      <c r="I595" s="159">
        <v>40</v>
      </c>
      <c r="J595" s="254">
        <v>35.6</v>
      </c>
      <c r="K595" s="466"/>
      <c r="L595" s="440"/>
      <c r="M595" s="500"/>
      <c r="N595" s="391"/>
      <c r="O595" s="392"/>
      <c r="P595" s="405"/>
      <c r="Q595" s="420"/>
      <c r="T595" s="8">
        <f t="shared" si="13"/>
        <v>8.130081300813009E-3</v>
      </c>
    </row>
    <row r="596" spans="1:20" hidden="1" outlineLevel="1" x14ac:dyDescent="0.25">
      <c r="A596" s="286"/>
      <c r="B596" s="136" t="s">
        <v>1363</v>
      </c>
      <c r="C596" s="136" t="s">
        <v>1364</v>
      </c>
      <c r="D596" s="135"/>
      <c r="E596" s="135"/>
      <c r="F596" s="118"/>
      <c r="G596" s="158">
        <v>3.6</v>
      </c>
      <c r="H596" s="258">
        <v>98</v>
      </c>
      <c r="I596" s="159">
        <v>70</v>
      </c>
      <c r="J596" s="254">
        <v>19</v>
      </c>
      <c r="K596" s="466"/>
      <c r="L596" s="440"/>
      <c r="M596" s="500"/>
      <c r="N596" s="391"/>
      <c r="O596" s="392"/>
      <c r="P596" s="405"/>
      <c r="Q596" s="420"/>
      <c r="T596" s="8">
        <f t="shared" si="13"/>
        <v>1.4227642276422764E-2</v>
      </c>
    </row>
    <row r="597" spans="1:20" hidden="1" outlineLevel="1" x14ac:dyDescent="0.25">
      <c r="A597" s="286"/>
      <c r="B597" s="136" t="s">
        <v>1365</v>
      </c>
      <c r="C597" s="201" t="s">
        <v>1366</v>
      </c>
      <c r="D597" s="135"/>
      <c r="E597" s="135"/>
      <c r="F597" s="118"/>
      <c r="G597" s="158">
        <v>0.3</v>
      </c>
      <c r="H597" s="258">
        <v>9</v>
      </c>
      <c r="I597" s="159">
        <v>40</v>
      </c>
      <c r="J597" s="254">
        <v>27.8</v>
      </c>
      <c r="K597" s="466"/>
      <c r="L597" s="440"/>
      <c r="M597" s="500"/>
      <c r="N597" s="391"/>
      <c r="O597" s="392"/>
      <c r="P597" s="405"/>
      <c r="Q597" s="420"/>
      <c r="T597" s="8">
        <f t="shared" si="13"/>
        <v>8.130081300813009E-3</v>
      </c>
    </row>
    <row r="598" spans="1:20" hidden="1" outlineLevel="1" x14ac:dyDescent="0.25">
      <c r="A598" s="136"/>
      <c r="B598" s="200"/>
      <c r="C598" s="200"/>
      <c r="D598" s="137"/>
      <c r="E598" s="137"/>
      <c r="F598" s="138"/>
      <c r="G598" s="158"/>
      <c r="H598" s="258"/>
      <c r="I598" s="258"/>
      <c r="J598" s="254"/>
      <c r="K598" s="466"/>
      <c r="L598" s="440"/>
      <c r="M598" s="516"/>
      <c r="N598" s="517"/>
      <c r="O598" s="515"/>
      <c r="P598" s="405"/>
      <c r="Q598" s="420"/>
      <c r="T598" s="8">
        <f t="shared" si="13"/>
        <v>0</v>
      </c>
    </row>
    <row r="599" spans="1:20" ht="26.25" hidden="1" outlineLevel="1" x14ac:dyDescent="0.25">
      <c r="A599" s="286">
        <v>10.199999999999999</v>
      </c>
      <c r="B599" s="155" t="s">
        <v>1367</v>
      </c>
      <c r="C599" s="135"/>
      <c r="D599" s="135"/>
      <c r="E599" s="135"/>
      <c r="F599" s="118"/>
      <c r="G599" s="158">
        <v>0.4</v>
      </c>
      <c r="H599" s="258">
        <v>10</v>
      </c>
      <c r="I599" s="258">
        <v>100</v>
      </c>
      <c r="J599" s="254">
        <v>17.7</v>
      </c>
      <c r="K599" s="466"/>
      <c r="L599" s="446" t="str">
        <f>B599</f>
        <v>Payments for school trips, other ad-hoc expenditure</v>
      </c>
      <c r="M599" s="500"/>
      <c r="N599" s="391"/>
      <c r="O599" s="392"/>
      <c r="P599" s="392"/>
      <c r="Q599" s="417"/>
      <c r="R599" s="116"/>
      <c r="T599" s="8">
        <f t="shared" si="13"/>
        <v>2.032520325203252E-2</v>
      </c>
    </row>
    <row r="600" spans="1:20" hidden="1" outlineLevel="1" x14ac:dyDescent="0.25">
      <c r="A600" s="136"/>
      <c r="B600" s="136" t="s">
        <v>1368</v>
      </c>
      <c r="C600" s="201" t="s">
        <v>1358</v>
      </c>
      <c r="D600" s="137"/>
      <c r="E600" s="137"/>
      <c r="F600" s="138"/>
      <c r="G600" s="158">
        <v>0.1</v>
      </c>
      <c r="H600" s="258">
        <v>3</v>
      </c>
      <c r="I600" s="258">
        <v>60</v>
      </c>
      <c r="J600" s="254">
        <v>21.3</v>
      </c>
      <c r="K600" s="466"/>
      <c r="L600" s="440"/>
      <c r="M600" s="533"/>
      <c r="N600" s="534"/>
      <c r="O600" s="530"/>
      <c r="P600" s="405"/>
      <c r="Q600" s="420"/>
      <c r="T600" s="8">
        <f t="shared" si="13"/>
        <v>1.2195121951219513E-2</v>
      </c>
    </row>
    <row r="601" spans="1:20" hidden="1" outlineLevel="1" x14ac:dyDescent="0.25">
      <c r="A601" s="136"/>
      <c r="B601" s="136" t="s">
        <v>1369</v>
      </c>
      <c r="C601" s="136" t="s">
        <v>1360</v>
      </c>
      <c r="D601" s="137"/>
      <c r="E601" s="137"/>
      <c r="F601" s="138"/>
      <c r="G601" s="158">
        <v>0.1</v>
      </c>
      <c r="H601" s="258">
        <v>4</v>
      </c>
      <c r="I601" s="258">
        <v>40</v>
      </c>
      <c r="J601" s="254">
        <v>21.6</v>
      </c>
      <c r="K601" s="466"/>
      <c r="L601" s="440"/>
      <c r="M601" s="500"/>
      <c r="N601" s="391"/>
      <c r="O601" s="392"/>
      <c r="P601" s="405"/>
      <c r="Q601" s="420"/>
      <c r="T601" s="8">
        <f t="shared" si="13"/>
        <v>8.130081300813009E-3</v>
      </c>
    </row>
    <row r="602" spans="1:20" hidden="1" outlineLevel="1" x14ac:dyDescent="0.25">
      <c r="A602" s="136"/>
      <c r="B602" s="136" t="s">
        <v>1370</v>
      </c>
      <c r="C602" s="136" t="s">
        <v>1362</v>
      </c>
      <c r="D602" s="137"/>
      <c r="E602" s="137"/>
      <c r="F602" s="138"/>
      <c r="G602" s="376">
        <v>0</v>
      </c>
      <c r="H602" s="375">
        <v>1</v>
      </c>
      <c r="I602" s="159" t="s">
        <v>610</v>
      </c>
      <c r="J602" s="254">
        <v>69.3</v>
      </c>
      <c r="K602" s="466"/>
      <c r="L602" s="440"/>
      <c r="M602" s="500"/>
      <c r="N602" s="391"/>
      <c r="O602" s="392"/>
      <c r="P602" s="405"/>
      <c r="Q602" s="420"/>
      <c r="T602" s="8" t="e">
        <f t="shared" si="13"/>
        <v>#VALUE!</v>
      </c>
    </row>
    <row r="603" spans="1:20" hidden="1" outlineLevel="1" x14ac:dyDescent="0.25">
      <c r="A603" s="136"/>
      <c r="B603" s="136" t="s">
        <v>1371</v>
      </c>
      <c r="C603" s="136" t="s">
        <v>1364</v>
      </c>
      <c r="D603" s="137"/>
      <c r="E603" s="137"/>
      <c r="F603" s="138"/>
      <c r="G603" s="376">
        <v>0.1</v>
      </c>
      <c r="H603" s="375">
        <v>3</v>
      </c>
      <c r="I603" s="159" t="s">
        <v>610</v>
      </c>
      <c r="J603" s="254">
        <v>58.7</v>
      </c>
      <c r="K603" s="466"/>
      <c r="L603" s="440"/>
      <c r="M603" s="500"/>
      <c r="N603" s="391"/>
      <c r="O603" s="392"/>
      <c r="P603" s="405"/>
      <c r="Q603" s="420"/>
      <c r="T603" s="8" t="e">
        <f t="shared" si="13"/>
        <v>#VALUE!</v>
      </c>
    </row>
    <row r="604" spans="1:20" hidden="1" outlineLevel="1" x14ac:dyDescent="0.25">
      <c r="A604" s="136"/>
      <c r="B604" s="136" t="s">
        <v>1372</v>
      </c>
      <c r="C604" s="201" t="s">
        <v>1366</v>
      </c>
      <c r="D604" s="137"/>
      <c r="E604" s="137"/>
      <c r="F604" s="138"/>
      <c r="G604" s="376">
        <v>0</v>
      </c>
      <c r="H604" s="375">
        <v>0</v>
      </c>
      <c r="I604" s="159" t="s">
        <v>610</v>
      </c>
      <c r="J604" s="254">
        <v>54.4</v>
      </c>
      <c r="K604" s="466"/>
      <c r="L604" s="440"/>
      <c r="M604" s="500"/>
      <c r="N604" s="391"/>
      <c r="O604" s="392"/>
      <c r="P604" s="405"/>
      <c r="Q604" s="420"/>
      <c r="T604" s="8" t="e">
        <f t="shared" si="13"/>
        <v>#VALUE!</v>
      </c>
    </row>
    <row r="605" spans="1:20" hidden="1" outlineLevel="1" x14ac:dyDescent="0.25">
      <c r="A605" s="287"/>
      <c r="B605" s="288"/>
      <c r="C605" s="289"/>
      <c r="D605" s="130"/>
      <c r="E605" s="130"/>
      <c r="F605" s="131"/>
      <c r="G605" s="290"/>
      <c r="H605" s="354"/>
      <c r="I605" s="291"/>
      <c r="J605" s="325"/>
      <c r="K605" s="466"/>
      <c r="L605" s="440"/>
      <c r="M605" s="500"/>
      <c r="N605" s="391"/>
      <c r="O605" s="392"/>
      <c r="P605" s="405"/>
      <c r="Q605" s="420"/>
      <c r="T605" s="8">
        <f t="shared" si="13"/>
        <v>0</v>
      </c>
    </row>
    <row r="606" spans="1:20" hidden="1" outlineLevel="1" x14ac:dyDescent="0.25">
      <c r="A606" s="195"/>
      <c r="B606" s="190"/>
      <c r="C606" s="211"/>
      <c r="D606" s="135"/>
      <c r="E606" s="135"/>
      <c r="F606" s="249"/>
      <c r="G606" s="197"/>
      <c r="H606" s="353"/>
      <c r="I606" s="198"/>
      <c r="J606" s="199"/>
      <c r="K606" s="466"/>
      <c r="L606" s="440"/>
      <c r="M606" s="500"/>
      <c r="N606" s="391"/>
      <c r="O606" s="392"/>
      <c r="P606" s="405"/>
      <c r="Q606" s="420"/>
      <c r="T606" s="8">
        <f t="shared" si="13"/>
        <v>0</v>
      </c>
    </row>
    <row r="607" spans="1:20" hidden="1" outlineLevel="1" x14ac:dyDescent="0.25">
      <c r="A607" s="43" t="s">
        <v>775</v>
      </c>
      <c r="B607" s="200"/>
      <c r="C607" s="136"/>
      <c r="D607" s="137"/>
      <c r="E607" s="202"/>
      <c r="F607" s="204"/>
      <c r="G607" s="217"/>
      <c r="H607" s="361"/>
      <c r="I607" s="198"/>
      <c r="J607" s="199"/>
      <c r="K607" s="466"/>
      <c r="L607" s="440"/>
      <c r="M607" s="500"/>
      <c r="N607" s="391"/>
      <c r="O607" s="392"/>
      <c r="P607" s="405"/>
      <c r="Q607" s="420"/>
      <c r="T607" s="8">
        <f t="shared" si="13"/>
        <v>0</v>
      </c>
    </row>
    <row r="608" spans="1:20" hidden="1" outlineLevel="1" x14ac:dyDescent="0.25">
      <c r="A608" s="43" t="s">
        <v>776</v>
      </c>
      <c r="B608" s="200"/>
      <c r="C608" s="136"/>
      <c r="D608" s="137"/>
      <c r="E608" s="202"/>
      <c r="F608" s="204"/>
      <c r="G608" s="217"/>
      <c r="H608" s="361"/>
      <c r="I608" s="198"/>
      <c r="J608" s="199"/>
      <c r="K608" s="466"/>
      <c r="L608" s="440"/>
      <c r="M608" s="500"/>
      <c r="N608" s="391"/>
      <c r="O608" s="392"/>
      <c r="P608" s="405"/>
      <c r="Q608" s="420"/>
      <c r="T608" s="8">
        <f t="shared" si="13"/>
        <v>0</v>
      </c>
    </row>
    <row r="609" spans="1:20" hidden="1" outlineLevel="1" x14ac:dyDescent="0.25">
      <c r="A609" s="43" t="s">
        <v>613</v>
      </c>
      <c r="B609" s="200"/>
      <c r="C609" s="136"/>
      <c r="D609" s="137"/>
      <c r="E609" s="202"/>
      <c r="F609" s="204"/>
      <c r="G609" s="217"/>
      <c r="H609" s="361"/>
      <c r="I609" s="198"/>
      <c r="J609" s="199"/>
      <c r="K609" s="466"/>
      <c r="L609" s="440"/>
      <c r="M609" s="500"/>
      <c r="N609" s="391"/>
      <c r="O609" s="392"/>
      <c r="P609" s="405"/>
      <c r="Q609" s="420"/>
      <c r="T609" s="8">
        <f t="shared" si="13"/>
        <v>0</v>
      </c>
    </row>
    <row r="610" spans="1:20" hidden="1" outlineLevel="1" x14ac:dyDescent="0.25">
      <c r="A610" s="43"/>
      <c r="B610" s="136"/>
      <c r="C610" s="136"/>
      <c r="D610" s="136"/>
      <c r="E610" s="136"/>
      <c r="F610" s="138"/>
      <c r="G610" s="158"/>
      <c r="H610" s="285"/>
      <c r="I610" s="159"/>
      <c r="J610" s="315"/>
      <c r="K610" s="466"/>
      <c r="L610" s="440"/>
      <c r="M610" s="500"/>
      <c r="N610" s="391"/>
      <c r="O610" s="392"/>
      <c r="P610" s="405"/>
      <c r="Q610" s="420"/>
      <c r="T610" s="8">
        <f t="shared" si="13"/>
        <v>0</v>
      </c>
    </row>
    <row r="611" spans="1:20" hidden="1" outlineLevel="1" x14ac:dyDescent="0.25">
      <c r="A611" s="195"/>
      <c r="B611" s="190"/>
      <c r="C611" s="211"/>
      <c r="D611" s="135"/>
      <c r="E611" s="135"/>
      <c r="F611" s="249"/>
      <c r="G611" s="197"/>
      <c r="H611" s="353"/>
      <c r="I611" s="198"/>
      <c r="J611" s="199"/>
      <c r="K611" s="466"/>
      <c r="L611" s="440"/>
      <c r="M611" s="500"/>
      <c r="N611" s="391"/>
      <c r="O611" s="392"/>
      <c r="P611" s="405"/>
      <c r="Q611" s="420"/>
      <c r="T611" s="8">
        <f t="shared" si="13"/>
        <v>0</v>
      </c>
    </row>
    <row r="612" spans="1:20" hidden="1" outlineLevel="1" x14ac:dyDescent="0.25">
      <c r="A612" s="220"/>
      <c r="B612" s="190"/>
      <c r="C612" s="211"/>
      <c r="D612" s="135"/>
      <c r="E612" s="135"/>
      <c r="F612" s="249"/>
      <c r="G612" s="197"/>
      <c r="H612" s="353"/>
      <c r="I612" s="198"/>
      <c r="J612" s="199"/>
      <c r="K612" s="466"/>
      <c r="L612" s="440"/>
      <c r="M612" s="500"/>
      <c r="N612" s="391"/>
      <c r="O612" s="392"/>
      <c r="P612" s="405"/>
      <c r="Q612" s="420"/>
      <c r="T612" s="8">
        <f t="shared" si="13"/>
        <v>0</v>
      </c>
    </row>
    <row r="613" spans="1:20" hidden="1" outlineLevel="1" x14ac:dyDescent="0.25">
      <c r="A613" s="136"/>
      <c r="B613" s="200"/>
      <c r="C613" s="204"/>
      <c r="D613" s="137"/>
      <c r="E613" s="137"/>
      <c r="F613" s="138"/>
      <c r="G613" s="217"/>
      <c r="H613" s="361"/>
      <c r="I613" s="218"/>
      <c r="J613" s="219"/>
      <c r="K613" s="466"/>
      <c r="L613" s="440"/>
      <c r="M613" s="500"/>
      <c r="N613" s="391"/>
      <c r="O613" s="392"/>
      <c r="P613" s="405"/>
      <c r="Q613" s="420"/>
      <c r="T613" s="8">
        <f t="shared" si="13"/>
        <v>0</v>
      </c>
    </row>
    <row r="614" spans="1:20" ht="15.75" hidden="1" outlineLevel="1" x14ac:dyDescent="0.25">
      <c r="A614" s="334" t="s">
        <v>648</v>
      </c>
      <c r="B614" s="200"/>
      <c r="C614" s="204"/>
      <c r="D614" s="137"/>
      <c r="E614" s="137"/>
      <c r="F614" s="138"/>
      <c r="G614" s="217"/>
      <c r="H614" s="361"/>
      <c r="I614" s="218"/>
      <c r="J614" s="135"/>
      <c r="K614" s="466"/>
      <c r="L614" s="440"/>
      <c r="M614" s="500"/>
      <c r="N614" s="391"/>
      <c r="O614" s="392"/>
      <c r="P614" s="405"/>
      <c r="Q614" s="420"/>
      <c r="T614" s="8">
        <f t="shared" si="13"/>
        <v>0</v>
      </c>
    </row>
    <row r="615" spans="1:20" ht="35.25" hidden="1" outlineLevel="1" x14ac:dyDescent="0.25">
      <c r="A615" s="103" t="s">
        <v>777</v>
      </c>
      <c r="B615" s="119"/>
      <c r="C615" s="126"/>
      <c r="D615" s="121"/>
      <c r="E615" s="121"/>
      <c r="F615" s="122"/>
      <c r="G615" s="123"/>
      <c r="H615" s="343"/>
      <c r="I615" s="124"/>
      <c r="J615" s="223"/>
      <c r="K615" s="466"/>
      <c r="L615" s="440"/>
      <c r="M615" s="500"/>
      <c r="N615" s="391"/>
      <c r="O615" s="392"/>
      <c r="P615" s="405"/>
      <c r="Q615" s="420"/>
      <c r="T615" s="8">
        <f t="shared" si="13"/>
        <v>0</v>
      </c>
    </row>
    <row r="616" spans="1:20" ht="18" hidden="1" outlineLevel="1" x14ac:dyDescent="0.25">
      <c r="A616" s="339" t="s">
        <v>643</v>
      </c>
      <c r="B616" s="340"/>
      <c r="C616" s="337"/>
      <c r="D616" s="338"/>
      <c r="E616" s="121"/>
      <c r="F616" s="122"/>
      <c r="G616" s="123"/>
      <c r="H616" s="343"/>
      <c r="I616" s="124"/>
      <c r="J616" s="223"/>
      <c r="K616" s="466"/>
      <c r="L616" s="440"/>
      <c r="M616" s="500"/>
      <c r="N616" s="391"/>
      <c r="O616" s="392"/>
      <c r="P616" s="405"/>
      <c r="Q616" s="420"/>
      <c r="T616" s="8">
        <f t="shared" si="13"/>
        <v>0</v>
      </c>
    </row>
    <row r="617" spans="1:20" hidden="1" outlineLevel="1" x14ac:dyDescent="0.25">
      <c r="A617" s="129"/>
      <c r="B617" s="129"/>
      <c r="C617" s="130"/>
      <c r="D617" s="131"/>
      <c r="E617" s="131"/>
      <c r="F617" s="131"/>
      <c r="G617" s="132"/>
      <c r="H617" s="348"/>
      <c r="I617" s="133"/>
      <c r="J617" s="134"/>
      <c r="K617" s="466"/>
      <c r="L617" s="440"/>
      <c r="M617" s="500"/>
      <c r="N617" s="391"/>
      <c r="O617" s="392"/>
      <c r="P617" s="405"/>
      <c r="Q617" s="420"/>
      <c r="T617" s="8">
        <f t="shared" si="13"/>
        <v>0</v>
      </c>
    </row>
    <row r="618" spans="1:20" hidden="1" outlineLevel="1" x14ac:dyDescent="0.25">
      <c r="A618" s="128"/>
      <c r="B618" s="128"/>
      <c r="C618" s="137"/>
      <c r="D618" s="138"/>
      <c r="E618" s="138"/>
      <c r="F618" s="138"/>
      <c r="G618" s="139"/>
      <c r="H618" s="362"/>
      <c r="I618" s="140"/>
      <c r="J618" s="141"/>
      <c r="K618" s="466"/>
      <c r="L618" s="440"/>
      <c r="M618" s="500"/>
      <c r="N618" s="391"/>
      <c r="O618" s="392"/>
      <c r="P618" s="405"/>
      <c r="Q618" s="420"/>
      <c r="T618" s="8">
        <f t="shared" si="13"/>
        <v>0</v>
      </c>
    </row>
    <row r="619" spans="1:20" hidden="1" outlineLevel="1" x14ac:dyDescent="0.25">
      <c r="A619" s="224"/>
      <c r="B619" s="224"/>
      <c r="C619" s="225"/>
      <c r="D619" s="226"/>
      <c r="E619" s="226"/>
      <c r="F619" s="144"/>
      <c r="G619" s="145" t="s">
        <v>650</v>
      </c>
      <c r="H619" s="345" t="s">
        <v>284</v>
      </c>
      <c r="I619" s="146" t="s">
        <v>651</v>
      </c>
      <c r="J619" s="147" t="s">
        <v>652</v>
      </c>
      <c r="K619" s="466"/>
      <c r="L619" s="440"/>
      <c r="M619" s="500"/>
      <c r="N619" s="391"/>
      <c r="O619" s="392"/>
      <c r="P619" s="405"/>
      <c r="Q619" s="420"/>
      <c r="T619" s="8" t="e">
        <f t="shared" si="13"/>
        <v>#VALUE!</v>
      </c>
    </row>
    <row r="620" spans="1:20" hidden="1" outlineLevel="1" x14ac:dyDescent="0.25">
      <c r="A620" s="224"/>
      <c r="B620" s="224"/>
      <c r="C620" s="227"/>
      <c r="D620" s="226"/>
      <c r="E620" s="226"/>
      <c r="F620" s="144"/>
      <c r="G620" s="149" t="s">
        <v>653</v>
      </c>
      <c r="H620" s="345" t="s">
        <v>654</v>
      </c>
      <c r="I620" s="146" t="s">
        <v>655</v>
      </c>
      <c r="J620" s="147" t="s">
        <v>656</v>
      </c>
      <c r="K620" s="466"/>
      <c r="L620" s="440"/>
      <c r="M620" s="500"/>
      <c r="N620" s="391"/>
      <c r="O620" s="392"/>
      <c r="P620" s="405"/>
      <c r="Q620" s="420"/>
      <c r="T620" s="8" t="e">
        <f t="shared" si="13"/>
        <v>#VALUE!</v>
      </c>
    </row>
    <row r="621" spans="1:20" hidden="1" outlineLevel="1" x14ac:dyDescent="0.25">
      <c r="A621" s="224"/>
      <c r="B621" s="224"/>
      <c r="C621" s="227"/>
      <c r="D621" s="226"/>
      <c r="E621" s="226"/>
      <c r="F621" s="144"/>
      <c r="G621" s="145" t="s">
        <v>657</v>
      </c>
      <c r="H621" s="345" t="s">
        <v>653</v>
      </c>
      <c r="I621" s="146" t="s">
        <v>658</v>
      </c>
      <c r="J621" s="151" t="s">
        <v>659</v>
      </c>
      <c r="K621" s="466"/>
      <c r="L621" s="440"/>
      <c r="M621" s="500"/>
      <c r="N621" s="391"/>
      <c r="O621" s="392"/>
      <c r="P621" s="405"/>
      <c r="Q621" s="420"/>
      <c r="T621" s="8" t="e">
        <f t="shared" si="13"/>
        <v>#VALUE!</v>
      </c>
    </row>
    <row r="622" spans="1:20" hidden="1" outlineLevel="1" x14ac:dyDescent="0.25">
      <c r="A622" s="224"/>
      <c r="B622" s="224"/>
      <c r="C622" s="227"/>
      <c r="D622" s="226"/>
      <c r="E622" s="226"/>
      <c r="F622" s="144"/>
      <c r="G622" s="149" t="s">
        <v>660</v>
      </c>
      <c r="H622" s="345" t="s">
        <v>661</v>
      </c>
      <c r="I622" s="146" t="s">
        <v>662</v>
      </c>
      <c r="J622" s="152" t="s">
        <v>663</v>
      </c>
      <c r="K622" s="466"/>
      <c r="L622" s="440"/>
      <c r="M622" s="500"/>
      <c r="N622" s="391"/>
      <c r="O622" s="392"/>
      <c r="P622" s="405"/>
      <c r="Q622" s="420"/>
      <c r="T622" s="8" t="e">
        <f t="shared" si="13"/>
        <v>#VALUE!</v>
      </c>
    </row>
    <row r="623" spans="1:20" hidden="1" outlineLevel="1" x14ac:dyDescent="0.25">
      <c r="A623" s="129"/>
      <c r="B623" s="129"/>
      <c r="C623" s="130"/>
      <c r="D623" s="131"/>
      <c r="E623" s="131"/>
      <c r="F623" s="131"/>
      <c r="G623" s="132"/>
      <c r="H623" s="348"/>
      <c r="I623" s="133"/>
      <c r="J623" s="131"/>
      <c r="K623" s="466"/>
      <c r="L623" s="440"/>
      <c r="M623" s="500"/>
      <c r="N623" s="391"/>
      <c r="O623" s="392"/>
      <c r="P623" s="405"/>
      <c r="Q623" s="420"/>
      <c r="T623" s="8">
        <f t="shared" si="13"/>
        <v>0</v>
      </c>
    </row>
    <row r="624" spans="1:20" hidden="1" outlineLevel="1" x14ac:dyDescent="0.25">
      <c r="A624" s="118"/>
      <c r="B624" s="128"/>
      <c r="C624" s="156"/>
      <c r="D624" s="157"/>
      <c r="E624" s="157"/>
      <c r="F624" s="138"/>
      <c r="G624" s="158"/>
      <c r="H624" s="258"/>
      <c r="I624" s="159"/>
      <c r="J624" s="157"/>
      <c r="K624" s="466"/>
      <c r="L624" s="440"/>
      <c r="M624" s="500"/>
      <c r="N624" s="391"/>
      <c r="O624" s="392"/>
      <c r="P624" s="405"/>
      <c r="Q624" s="420"/>
      <c r="T624" s="8">
        <f t="shared" si="13"/>
        <v>0</v>
      </c>
    </row>
    <row r="625" spans="1:20" hidden="1" outlineLevel="1" x14ac:dyDescent="0.25">
      <c r="A625" s="174" t="s">
        <v>607</v>
      </c>
      <c r="B625" s="175"/>
      <c r="C625" s="176"/>
      <c r="D625" s="164"/>
      <c r="E625" s="164"/>
      <c r="F625" s="177" t="s">
        <v>536</v>
      </c>
      <c r="G625" s="178"/>
      <c r="H625" s="350"/>
      <c r="I625" s="179"/>
      <c r="J625" s="164"/>
      <c r="K625" s="466"/>
      <c r="L625" s="440"/>
      <c r="M625" s="500"/>
      <c r="N625" s="391"/>
      <c r="O625" s="392"/>
      <c r="P625" s="405"/>
      <c r="Q625" s="420"/>
      <c r="T625" s="8">
        <f t="shared" si="13"/>
        <v>0</v>
      </c>
    </row>
    <row r="626" spans="1:20" hidden="1" outlineLevel="1" x14ac:dyDescent="0.25">
      <c r="A626" s="180"/>
      <c r="B626" s="180"/>
      <c r="C626" s="181"/>
      <c r="D626" s="135"/>
      <c r="E626" s="135"/>
      <c r="F626" s="182"/>
      <c r="G626" s="171"/>
      <c r="H626" s="349"/>
      <c r="I626" s="172"/>
      <c r="J626" s="173"/>
      <c r="K626" s="466"/>
      <c r="L626" s="440"/>
      <c r="M626" s="516"/>
      <c r="N626" s="517"/>
      <c r="O626" s="515"/>
      <c r="P626" s="405"/>
      <c r="Q626" s="420"/>
      <c r="T626" s="8">
        <f t="shared" si="13"/>
        <v>0</v>
      </c>
    </row>
    <row r="627" spans="1:20" collapsed="1" x14ac:dyDescent="0.25">
      <c r="A627" s="234">
        <v>11</v>
      </c>
      <c r="B627" s="234" t="s">
        <v>574</v>
      </c>
      <c r="C627" s="186"/>
      <c r="D627" s="186"/>
      <c r="E627" s="186"/>
      <c r="F627" s="267"/>
      <c r="G627" s="280">
        <v>45.1</v>
      </c>
      <c r="H627" s="356">
        <v>1229</v>
      </c>
      <c r="I627" s="281">
        <v>4340</v>
      </c>
      <c r="J627" s="330">
        <v>2.2999999999999998</v>
      </c>
      <c r="K627" s="466">
        <v>11</v>
      </c>
      <c r="L627" s="447" t="str">
        <f>B627</f>
        <v>Restaurants and hotels</v>
      </c>
      <c r="M627" s="500">
        <f>M629+M646</f>
        <v>8.9</v>
      </c>
      <c r="N627" s="391">
        <f>G627</f>
        <v>45.1</v>
      </c>
      <c r="O627" s="392">
        <f t="shared" ref="O627:O652" si="14">M627/N627</f>
        <v>0.19733924611973391</v>
      </c>
      <c r="P627" s="392">
        <v>0.2</v>
      </c>
      <c r="Q627" s="417" t="s">
        <v>822</v>
      </c>
      <c r="R627" s="116" t="s">
        <v>1373</v>
      </c>
      <c r="T627" s="8">
        <f t="shared" si="13"/>
        <v>0.88211382113821135</v>
      </c>
    </row>
    <row r="628" spans="1:20" ht="17.25" hidden="1" customHeight="1" outlineLevel="1" x14ac:dyDescent="0.25">
      <c r="A628" s="136"/>
      <c r="B628" s="200"/>
      <c r="C628" s="137"/>
      <c r="D628" s="137"/>
      <c r="E628" s="137"/>
      <c r="F628" s="138"/>
      <c r="G628" s="158"/>
      <c r="H628" s="258"/>
      <c r="I628" s="159"/>
      <c r="J628" s="254"/>
      <c r="K628" s="466"/>
      <c r="L628" s="440"/>
      <c r="M628" s="531"/>
      <c r="N628" s="532"/>
      <c r="O628" s="529" t="e">
        <f t="shared" si="14"/>
        <v>#DIV/0!</v>
      </c>
      <c r="P628" s="405"/>
      <c r="Q628" s="420"/>
      <c r="T628" s="8">
        <f t="shared" si="13"/>
        <v>0</v>
      </c>
    </row>
    <row r="629" spans="1:20" outlineLevel="1" x14ac:dyDescent="0.25">
      <c r="A629" s="286">
        <v>11.1</v>
      </c>
      <c r="B629" s="196" t="s">
        <v>1374</v>
      </c>
      <c r="C629" s="195"/>
      <c r="D629" s="135"/>
      <c r="E629" s="135"/>
      <c r="F629" s="118"/>
      <c r="G629" s="158">
        <v>36.200000000000003</v>
      </c>
      <c r="H629" s="258">
        <v>986</v>
      </c>
      <c r="I629" s="159">
        <v>4270</v>
      </c>
      <c r="J629" s="254">
        <v>2</v>
      </c>
      <c r="K629" s="466"/>
      <c r="L629" s="441" t="str">
        <f>B629</f>
        <v>Catering services</v>
      </c>
      <c r="M629" s="504">
        <f>SUBTOTAL(9,M630:M644)</f>
        <v>0</v>
      </c>
      <c r="N629" s="541"/>
      <c r="O629" s="546"/>
      <c r="P629" s="546"/>
      <c r="Q629" s="545" t="s">
        <v>975</v>
      </c>
      <c r="R629" s="116" t="s">
        <v>1373</v>
      </c>
      <c r="T629" s="8">
        <f t="shared" si="13"/>
        <v>0.86788617886178865</v>
      </c>
    </row>
    <row r="630" spans="1:20" hidden="1" outlineLevel="1" x14ac:dyDescent="0.25">
      <c r="A630" s="137"/>
      <c r="B630" s="136" t="s">
        <v>1375</v>
      </c>
      <c r="C630" s="136" t="s">
        <v>1376</v>
      </c>
      <c r="D630" s="200"/>
      <c r="E630" s="137"/>
      <c r="F630" s="138"/>
      <c r="G630" s="158">
        <v>17.3</v>
      </c>
      <c r="H630" s="258">
        <v>471</v>
      </c>
      <c r="I630" s="159">
        <v>3500</v>
      </c>
      <c r="J630" s="254">
        <v>2.2999999999999998</v>
      </c>
      <c r="K630" s="466"/>
      <c r="L630" s="440"/>
      <c r="M630" s="533">
        <f>G630</f>
        <v>17.3</v>
      </c>
      <c r="N630" s="534"/>
      <c r="O630" s="530" t="e">
        <f t="shared" si="14"/>
        <v>#DIV/0!</v>
      </c>
      <c r="P630" s="405"/>
      <c r="Q630" s="420"/>
      <c r="T630" s="8">
        <f t="shared" si="13"/>
        <v>0.71138211382113825</v>
      </c>
    </row>
    <row r="631" spans="1:20" hidden="1" outlineLevel="1" x14ac:dyDescent="0.25">
      <c r="A631" s="137"/>
      <c r="B631" s="136" t="s">
        <v>1377</v>
      </c>
      <c r="C631" s="201" t="s">
        <v>1378</v>
      </c>
      <c r="D631" s="137"/>
      <c r="E631" s="137"/>
      <c r="F631" s="138"/>
      <c r="G631" s="158">
        <v>7.5</v>
      </c>
      <c r="H631" s="258">
        <v>203</v>
      </c>
      <c r="I631" s="159">
        <v>2040</v>
      </c>
      <c r="J631" s="254">
        <v>3.4</v>
      </c>
      <c r="K631" s="466"/>
      <c r="L631" s="440"/>
      <c r="M631" s="500">
        <f>G631</f>
        <v>7.5</v>
      </c>
      <c r="N631" s="391"/>
      <c r="O631" s="392" t="e">
        <f t="shared" si="14"/>
        <v>#DIV/0!</v>
      </c>
      <c r="P631" s="405"/>
      <c r="Q631" s="420"/>
      <c r="T631" s="8">
        <f t="shared" si="13"/>
        <v>0.41463414634146339</v>
      </c>
    </row>
    <row r="632" spans="1:20" hidden="1" outlineLevel="1" x14ac:dyDescent="0.25">
      <c r="A632" s="137"/>
      <c r="B632" s="136" t="s">
        <v>1379</v>
      </c>
      <c r="C632" s="137" t="s">
        <v>1380</v>
      </c>
      <c r="D632" s="137"/>
      <c r="E632" s="137"/>
      <c r="F632" s="138"/>
      <c r="G632" s="158">
        <v>4.7</v>
      </c>
      <c r="H632" s="258">
        <v>127</v>
      </c>
      <c r="I632" s="159">
        <v>2120</v>
      </c>
      <c r="J632" s="254">
        <v>2.5</v>
      </c>
      <c r="K632" s="466"/>
      <c r="L632" s="440"/>
      <c r="M632" s="500">
        <f>G632/2</f>
        <v>2.35</v>
      </c>
      <c r="N632" s="391"/>
      <c r="O632" s="392" t="e">
        <f t="shared" si="14"/>
        <v>#DIV/0!</v>
      </c>
      <c r="P632" s="405"/>
      <c r="Q632" s="420"/>
      <c r="R632" t="s">
        <v>1381</v>
      </c>
      <c r="T632" s="8">
        <f t="shared" si="13"/>
        <v>0.43089430894308944</v>
      </c>
    </row>
    <row r="633" spans="1:20" hidden="1" outlineLevel="1" x14ac:dyDescent="0.25">
      <c r="A633" s="155"/>
      <c r="B633" s="135"/>
      <c r="C633" s="155"/>
      <c r="D633" s="135"/>
      <c r="E633" s="135"/>
      <c r="F633" s="135"/>
      <c r="G633" s="158"/>
      <c r="H633" s="258"/>
      <c r="I633" s="159"/>
      <c r="J633" s="271"/>
      <c r="K633" s="466"/>
      <c r="L633" s="440"/>
      <c r="M633" s="500"/>
      <c r="N633" s="391"/>
      <c r="O633" s="392" t="e">
        <f t="shared" si="14"/>
        <v>#DIV/0!</v>
      </c>
      <c r="P633" s="405"/>
      <c r="Q633" s="420"/>
      <c r="T633" s="8">
        <f t="shared" si="13"/>
        <v>0</v>
      </c>
    </row>
    <row r="634" spans="1:20" hidden="1" outlineLevel="1" x14ac:dyDescent="0.25">
      <c r="A634" s="137"/>
      <c r="B634" s="136" t="s">
        <v>1382</v>
      </c>
      <c r="C634" s="136" t="s">
        <v>1383</v>
      </c>
      <c r="D634" s="137"/>
      <c r="E634" s="137"/>
      <c r="F634" s="138"/>
      <c r="G634" s="158">
        <v>4.4000000000000004</v>
      </c>
      <c r="H634" s="258">
        <v>119</v>
      </c>
      <c r="I634" s="159">
        <v>2700</v>
      </c>
      <c r="J634" s="254">
        <v>2.4</v>
      </c>
      <c r="K634" s="466"/>
      <c r="L634" s="440"/>
      <c r="M634" s="500"/>
      <c r="N634" s="391"/>
      <c r="O634" s="392" t="e">
        <f t="shared" si="14"/>
        <v>#DIV/0!</v>
      </c>
      <c r="P634" s="405"/>
      <c r="Q634" s="420"/>
      <c r="R634" t="s">
        <v>1384</v>
      </c>
      <c r="T634" s="8">
        <f t="shared" si="13"/>
        <v>0.54878048780487809</v>
      </c>
    </row>
    <row r="635" spans="1:20" hidden="1" outlineLevel="1" x14ac:dyDescent="0.25">
      <c r="A635" s="137"/>
      <c r="B635" s="205"/>
      <c r="C635" s="136" t="s">
        <v>1385</v>
      </c>
      <c r="D635" s="137" t="s">
        <v>1386</v>
      </c>
      <c r="E635" s="137"/>
      <c r="F635" s="138"/>
      <c r="G635" s="158">
        <v>3.2</v>
      </c>
      <c r="H635" s="258">
        <v>88</v>
      </c>
      <c r="I635" s="159">
        <v>2340</v>
      </c>
      <c r="J635" s="254">
        <v>2.7</v>
      </c>
      <c r="K635" s="466"/>
      <c r="L635" s="440"/>
      <c r="M635" s="500"/>
      <c r="N635" s="391"/>
      <c r="O635" s="392" t="e">
        <f t="shared" si="14"/>
        <v>#DIV/0!</v>
      </c>
      <c r="P635" s="405"/>
      <c r="Q635" s="420"/>
      <c r="T635" s="8">
        <f t="shared" si="13"/>
        <v>0.47560975609756095</v>
      </c>
    </row>
    <row r="636" spans="1:20" hidden="1" outlineLevel="1" x14ac:dyDescent="0.25">
      <c r="A636" s="137"/>
      <c r="B636" s="277"/>
      <c r="C636" s="136" t="s">
        <v>1387</v>
      </c>
      <c r="D636" s="137" t="s">
        <v>1388</v>
      </c>
      <c r="E636" s="137"/>
      <c r="F636" s="138"/>
      <c r="G636" s="158">
        <v>0.3</v>
      </c>
      <c r="H636" s="258">
        <v>8</v>
      </c>
      <c r="I636" s="159">
        <v>1080</v>
      </c>
      <c r="J636" s="254">
        <v>4</v>
      </c>
      <c r="K636" s="466"/>
      <c r="L636" s="440"/>
      <c r="M636" s="500"/>
      <c r="N636" s="391"/>
      <c r="O636" s="392" t="e">
        <f t="shared" si="14"/>
        <v>#DIV/0!</v>
      </c>
      <c r="P636" s="405"/>
      <c r="Q636" s="420"/>
      <c r="T636" s="8">
        <f t="shared" si="13"/>
        <v>0.21951219512195122</v>
      </c>
    </row>
    <row r="637" spans="1:20" hidden="1" outlineLevel="1" x14ac:dyDescent="0.25">
      <c r="A637" s="137"/>
      <c r="B637" s="277"/>
      <c r="C637" s="136" t="s">
        <v>1389</v>
      </c>
      <c r="D637" s="137" t="s">
        <v>1390</v>
      </c>
      <c r="E637" s="137"/>
      <c r="F637" s="138"/>
      <c r="G637" s="158">
        <v>0.1</v>
      </c>
      <c r="H637" s="258">
        <v>4</v>
      </c>
      <c r="I637" s="159">
        <v>400</v>
      </c>
      <c r="J637" s="254">
        <v>6.7</v>
      </c>
      <c r="K637" s="466"/>
      <c r="L637" s="440"/>
      <c r="M637" s="500"/>
      <c r="N637" s="391"/>
      <c r="O637" s="392" t="e">
        <f t="shared" si="14"/>
        <v>#DIV/0!</v>
      </c>
      <c r="P637" s="405"/>
      <c r="Q637" s="420"/>
      <c r="T637" s="8">
        <f t="shared" si="13"/>
        <v>8.1300813008130079E-2</v>
      </c>
    </row>
    <row r="638" spans="1:20" hidden="1" outlineLevel="1" x14ac:dyDescent="0.25">
      <c r="A638" s="137"/>
      <c r="B638" s="277"/>
      <c r="C638" s="136" t="s">
        <v>1391</v>
      </c>
      <c r="D638" s="137" t="s">
        <v>1392</v>
      </c>
      <c r="E638" s="137"/>
      <c r="F638" s="138"/>
      <c r="G638" s="158">
        <v>0.8</v>
      </c>
      <c r="H638" s="258">
        <v>21</v>
      </c>
      <c r="I638" s="159">
        <v>1710</v>
      </c>
      <c r="J638" s="254">
        <v>3.1</v>
      </c>
      <c r="K638" s="466"/>
      <c r="L638" s="440"/>
      <c r="M638" s="500"/>
      <c r="N638" s="391"/>
      <c r="O638" s="392" t="e">
        <f t="shared" si="14"/>
        <v>#DIV/0!</v>
      </c>
      <c r="P638" s="405"/>
      <c r="Q638" s="420"/>
      <c r="T638" s="8">
        <f t="shared" si="13"/>
        <v>0.34756097560975607</v>
      </c>
    </row>
    <row r="639" spans="1:20" hidden="1" outlineLevel="1" x14ac:dyDescent="0.25">
      <c r="A639" s="137"/>
      <c r="B639" s="277"/>
      <c r="C639" s="200"/>
      <c r="D639" s="137"/>
      <c r="E639" s="137"/>
      <c r="F639" s="138"/>
      <c r="G639" s="158"/>
      <c r="H639" s="258"/>
      <c r="I639" s="159"/>
      <c r="J639" s="254"/>
      <c r="K639" s="466"/>
      <c r="L639" s="440"/>
      <c r="M639" s="500"/>
      <c r="N639" s="391"/>
      <c r="O639" s="392" t="e">
        <f t="shared" si="14"/>
        <v>#DIV/0!</v>
      </c>
      <c r="P639" s="405"/>
      <c r="Q639" s="420"/>
      <c r="T639" s="8">
        <f t="shared" si="13"/>
        <v>0</v>
      </c>
    </row>
    <row r="640" spans="1:20" hidden="1" outlineLevel="1" x14ac:dyDescent="0.25">
      <c r="A640" s="137"/>
      <c r="B640" s="136" t="s">
        <v>1393</v>
      </c>
      <c r="C640" s="136" t="s">
        <v>1394</v>
      </c>
      <c r="D640" s="137"/>
      <c r="E640" s="138"/>
      <c r="F640" s="138"/>
      <c r="G640" s="171">
        <v>0.7</v>
      </c>
      <c r="H640" s="349">
        <v>18</v>
      </c>
      <c r="I640" s="172">
        <v>20</v>
      </c>
      <c r="J640" s="254">
        <v>44.5</v>
      </c>
      <c r="K640" s="466"/>
      <c r="L640" s="440"/>
      <c r="M640" s="500">
        <f>G640</f>
        <v>0.7</v>
      </c>
      <c r="N640" s="391"/>
      <c r="O640" s="392" t="e">
        <f t="shared" si="14"/>
        <v>#DIV/0!</v>
      </c>
      <c r="P640" s="405"/>
      <c r="Q640" s="420"/>
      <c r="T640" s="8">
        <f t="shared" si="13"/>
        <v>4.0650406504065045E-3</v>
      </c>
    </row>
    <row r="641" spans="1:20" hidden="1" outlineLevel="1" x14ac:dyDescent="0.25">
      <c r="A641" s="137"/>
      <c r="B641" s="205"/>
      <c r="C641" s="201"/>
      <c r="D641" s="137"/>
      <c r="E641" s="137"/>
      <c r="F641" s="138"/>
      <c r="G641" s="158"/>
      <c r="H641" s="258"/>
      <c r="I641" s="159"/>
      <c r="J641" s="254"/>
      <c r="K641" s="466"/>
      <c r="L641" s="440"/>
      <c r="M641" s="500"/>
      <c r="N641" s="391"/>
      <c r="O641" s="392" t="e">
        <f t="shared" si="14"/>
        <v>#DIV/0!</v>
      </c>
      <c r="P641" s="405"/>
      <c r="Q641" s="420"/>
      <c r="T641" s="8">
        <f t="shared" si="13"/>
        <v>0</v>
      </c>
    </row>
    <row r="642" spans="1:20" hidden="1" outlineLevel="1" x14ac:dyDescent="0.25">
      <c r="A642" s="200"/>
      <c r="B642" s="136" t="s">
        <v>1395</v>
      </c>
      <c r="C642" s="201" t="s">
        <v>1396</v>
      </c>
      <c r="D642" s="205"/>
      <c r="E642" s="137"/>
      <c r="F642" s="138"/>
      <c r="G642" s="171">
        <v>1.7</v>
      </c>
      <c r="H642" s="349">
        <v>48</v>
      </c>
      <c r="I642" s="172">
        <v>1110</v>
      </c>
      <c r="J642" s="257">
        <v>4.5</v>
      </c>
      <c r="K642" s="466"/>
      <c r="L642" s="440"/>
      <c r="M642" s="500"/>
      <c r="N642" s="391"/>
      <c r="O642" s="392" t="e">
        <f t="shared" si="14"/>
        <v>#DIV/0!</v>
      </c>
      <c r="P642" s="405"/>
      <c r="Q642" s="420"/>
      <c r="R642" t="s">
        <v>1397</v>
      </c>
      <c r="T642" s="8">
        <f t="shared" si="13"/>
        <v>0.22560975609756098</v>
      </c>
    </row>
    <row r="643" spans="1:20" hidden="1" outlineLevel="1" x14ac:dyDescent="0.25">
      <c r="A643" s="136"/>
      <c r="B643" s="137"/>
      <c r="C643" s="136" t="s">
        <v>1398</v>
      </c>
      <c r="D643" s="137" t="s">
        <v>1399</v>
      </c>
      <c r="E643" s="138"/>
      <c r="F643" s="138"/>
      <c r="G643" s="171">
        <v>0.7</v>
      </c>
      <c r="H643" s="349">
        <v>18</v>
      </c>
      <c r="I643" s="172">
        <v>390</v>
      </c>
      <c r="J643" s="257">
        <v>7.8</v>
      </c>
      <c r="K643" s="472"/>
      <c r="L643" s="442"/>
      <c r="M643" s="500"/>
      <c r="N643" s="391"/>
      <c r="O643" s="392" t="e">
        <f t="shared" si="14"/>
        <v>#DIV/0!</v>
      </c>
      <c r="P643" s="405"/>
      <c r="Q643" s="420"/>
      <c r="T643" s="8">
        <f t="shared" si="13"/>
        <v>7.926829268292683E-2</v>
      </c>
    </row>
    <row r="644" spans="1:20" hidden="1" outlineLevel="1" x14ac:dyDescent="0.25">
      <c r="A644" s="136"/>
      <c r="B644" s="137"/>
      <c r="C644" s="136" t="s">
        <v>1400</v>
      </c>
      <c r="D644" s="137" t="s">
        <v>1401</v>
      </c>
      <c r="E644" s="137"/>
      <c r="F644" s="138"/>
      <c r="G644" s="171">
        <v>1.1000000000000001</v>
      </c>
      <c r="H644" s="349">
        <v>29</v>
      </c>
      <c r="I644" s="172">
        <v>860</v>
      </c>
      <c r="J644" s="257">
        <v>5.2</v>
      </c>
      <c r="K644" s="472"/>
      <c r="L644" s="442"/>
      <c r="M644" s="500"/>
      <c r="N644" s="391"/>
      <c r="O644" s="392" t="e">
        <f t="shared" si="14"/>
        <v>#DIV/0!</v>
      </c>
      <c r="P644" s="405"/>
      <c r="Q644" s="420"/>
      <c r="T644" s="8">
        <f t="shared" si="13"/>
        <v>0.17479674796747968</v>
      </c>
    </row>
    <row r="645" spans="1:20" hidden="1" outlineLevel="1" x14ac:dyDescent="0.25">
      <c r="A645" s="136"/>
      <c r="B645" s="128"/>
      <c r="C645" s="136"/>
      <c r="D645" s="231"/>
      <c r="E645" s="231"/>
      <c r="F645" s="231"/>
      <c r="G645" s="158"/>
      <c r="H645" s="258"/>
      <c r="I645" s="159"/>
      <c r="J645" s="254"/>
      <c r="K645" s="472"/>
      <c r="L645" s="442"/>
      <c r="M645" s="516"/>
      <c r="N645" s="517"/>
      <c r="O645" s="515" t="e">
        <f t="shared" si="14"/>
        <v>#DIV/0!</v>
      </c>
      <c r="P645" s="405"/>
      <c r="Q645" s="420"/>
      <c r="T645" s="8">
        <f t="shared" si="13"/>
        <v>0</v>
      </c>
    </row>
    <row r="646" spans="1:20" outlineLevel="1" x14ac:dyDescent="0.25">
      <c r="A646" s="286">
        <v>11.2</v>
      </c>
      <c r="B646" s="155" t="s">
        <v>1402</v>
      </c>
      <c r="C646" s="135"/>
      <c r="D646" s="135"/>
      <c r="E646" s="135"/>
      <c r="F646" s="118"/>
      <c r="G646" s="158">
        <v>8.9</v>
      </c>
      <c r="H646" s="258">
        <v>243</v>
      </c>
      <c r="I646" s="159">
        <v>1410</v>
      </c>
      <c r="J646" s="254">
        <v>6</v>
      </c>
      <c r="K646" s="472"/>
      <c r="L646" s="452" t="str">
        <f>B646</f>
        <v>Accommodation services</v>
      </c>
      <c r="M646" s="504">
        <f>G646</f>
        <v>8.9</v>
      </c>
      <c r="N646" s="541"/>
      <c r="O646" s="546"/>
      <c r="P646" s="546"/>
      <c r="Q646" s="545" t="s">
        <v>587</v>
      </c>
      <c r="R646" s="116" t="s">
        <v>1403</v>
      </c>
      <c r="T646" s="8">
        <f t="shared" si="13"/>
        <v>0.28658536585365851</v>
      </c>
    </row>
    <row r="647" spans="1:20" hidden="1" outlineLevel="1" x14ac:dyDescent="0.25">
      <c r="A647" s="137"/>
      <c r="B647" s="136" t="s">
        <v>1404</v>
      </c>
      <c r="C647" s="201" t="s">
        <v>1405</v>
      </c>
      <c r="D647" s="137"/>
      <c r="E647" s="137"/>
      <c r="F647" s="138"/>
      <c r="G647" s="158">
        <v>5.0999999999999996</v>
      </c>
      <c r="H647" s="258">
        <v>138</v>
      </c>
      <c r="I647" s="159">
        <v>1160</v>
      </c>
      <c r="J647" s="254">
        <v>4.4000000000000004</v>
      </c>
      <c r="K647" s="473"/>
      <c r="L647" s="443"/>
      <c r="M647" s="533"/>
      <c r="N647" s="534"/>
      <c r="O647" s="530" t="e">
        <f t="shared" si="14"/>
        <v>#DIV/0!</v>
      </c>
      <c r="P647" s="405"/>
      <c r="Q647" s="420"/>
      <c r="T647" s="8">
        <f t="shared" si="13"/>
        <v>0.23577235772357724</v>
      </c>
    </row>
    <row r="648" spans="1:20" hidden="1" outlineLevel="1" x14ac:dyDescent="0.25">
      <c r="A648" s="137"/>
      <c r="B648" s="136" t="s">
        <v>1406</v>
      </c>
      <c r="C648" s="201" t="s">
        <v>1407</v>
      </c>
      <c r="D648" s="137"/>
      <c r="E648" s="137"/>
      <c r="F648" s="138"/>
      <c r="G648" s="158">
        <v>3.6</v>
      </c>
      <c r="H648" s="258">
        <v>99</v>
      </c>
      <c r="I648" s="159">
        <v>350</v>
      </c>
      <c r="J648" s="254">
        <v>12</v>
      </c>
      <c r="K648" s="473"/>
      <c r="L648" s="443"/>
      <c r="M648" s="500"/>
      <c r="N648" s="391"/>
      <c r="O648" s="392" t="e">
        <f t="shared" si="14"/>
        <v>#DIV/0!</v>
      </c>
      <c r="P648" s="405"/>
      <c r="Q648" s="420"/>
      <c r="T648" s="8">
        <f t="shared" si="13"/>
        <v>7.113821138211382E-2</v>
      </c>
    </row>
    <row r="649" spans="1:20" hidden="1" outlineLevel="1" x14ac:dyDescent="0.25">
      <c r="A649" s="137"/>
      <c r="B649" s="136" t="s">
        <v>1408</v>
      </c>
      <c r="C649" s="201" t="s">
        <v>1409</v>
      </c>
      <c r="D649" s="137"/>
      <c r="E649" s="137"/>
      <c r="F649" s="138"/>
      <c r="G649" s="376">
        <v>0.2</v>
      </c>
      <c r="H649" s="375">
        <v>6</v>
      </c>
      <c r="I649" s="159">
        <v>20</v>
      </c>
      <c r="J649" s="254">
        <v>50</v>
      </c>
      <c r="K649" s="473"/>
      <c r="L649" s="443"/>
      <c r="M649" s="500"/>
      <c r="N649" s="391"/>
      <c r="O649" s="392" t="e">
        <f t="shared" si="14"/>
        <v>#DIV/0!</v>
      </c>
      <c r="P649" s="405"/>
      <c r="Q649" s="420"/>
      <c r="T649" s="8">
        <f t="shared" si="13"/>
        <v>4.0650406504065045E-3</v>
      </c>
    </row>
    <row r="650" spans="1:20" hidden="1" outlineLevel="1" x14ac:dyDescent="0.25">
      <c r="A650" s="195"/>
      <c r="B650" s="196"/>
      <c r="C650" s="137"/>
      <c r="D650" s="135"/>
      <c r="E650" s="135"/>
      <c r="F650" s="249"/>
      <c r="G650" s="158"/>
      <c r="H650" s="378"/>
      <c r="I650" s="159"/>
      <c r="J650" s="254"/>
      <c r="K650" s="473"/>
      <c r="L650" s="443"/>
      <c r="M650" s="500"/>
      <c r="N650" s="391"/>
      <c r="O650" s="392" t="e">
        <f t="shared" si="14"/>
        <v>#DIV/0!</v>
      </c>
      <c r="P650" s="405"/>
      <c r="Q650" s="420"/>
      <c r="T650" s="8">
        <f t="shared" si="13"/>
        <v>0</v>
      </c>
    </row>
    <row r="651" spans="1:20" hidden="1" outlineLevel="1" x14ac:dyDescent="0.25">
      <c r="A651" s="136"/>
      <c r="B651" s="200"/>
      <c r="C651" s="200"/>
      <c r="D651" s="137"/>
      <c r="E651" s="137"/>
      <c r="F651" s="138"/>
      <c r="G651" s="158"/>
      <c r="H651" s="378"/>
      <c r="I651" s="159"/>
      <c r="J651" s="254"/>
      <c r="K651" s="473"/>
      <c r="L651" s="443"/>
      <c r="M651" s="516"/>
      <c r="N651" s="517"/>
      <c r="O651" s="515" t="e">
        <f t="shared" si="14"/>
        <v>#DIV/0!</v>
      </c>
      <c r="P651" s="405"/>
      <c r="Q651" s="420"/>
      <c r="T651" s="8">
        <f t="shared" si="13"/>
        <v>0</v>
      </c>
    </row>
    <row r="652" spans="1:20" x14ac:dyDescent="0.25">
      <c r="A652" s="234">
        <v>12</v>
      </c>
      <c r="B652" s="234" t="s">
        <v>577</v>
      </c>
      <c r="C652" s="184"/>
      <c r="D652" s="186"/>
      <c r="E652" s="186"/>
      <c r="F652" s="267"/>
      <c r="G652" s="280">
        <v>39.700000000000003</v>
      </c>
      <c r="H652" s="356">
        <v>1080</v>
      </c>
      <c r="I652" s="281">
        <v>4810</v>
      </c>
      <c r="J652" s="330">
        <v>2.2999999999999998</v>
      </c>
      <c r="K652" s="473">
        <v>12</v>
      </c>
      <c r="L652" s="455" t="str">
        <f>B652</f>
        <v>Miscellaneous goods and services</v>
      </c>
      <c r="M652" s="500">
        <f>M654+M670+M678+M718+M732</f>
        <v>14.5</v>
      </c>
      <c r="N652" s="391">
        <f>G652</f>
        <v>39.700000000000003</v>
      </c>
      <c r="O652" s="392">
        <f t="shared" si="14"/>
        <v>0.36523929471032746</v>
      </c>
      <c r="P652" s="392">
        <v>0.5</v>
      </c>
      <c r="Q652" s="417" t="s">
        <v>1410</v>
      </c>
      <c r="R652" s="116" t="s">
        <v>1411</v>
      </c>
      <c r="T652" s="8">
        <f t="shared" si="13"/>
        <v>0.97764227642276424</v>
      </c>
    </row>
    <row r="653" spans="1:20" hidden="1" outlineLevel="1" x14ac:dyDescent="0.25">
      <c r="A653" s="136"/>
      <c r="B653" s="200"/>
      <c r="C653" s="137"/>
      <c r="D653" s="137"/>
      <c r="E653" s="137"/>
      <c r="F653" s="138"/>
      <c r="G653" s="158"/>
      <c r="H653" s="258"/>
      <c r="I653" s="159"/>
      <c r="J653" s="254"/>
      <c r="M653" s="531"/>
      <c r="N653" s="532"/>
      <c r="O653" s="529"/>
      <c r="P653" s="405"/>
      <c r="Q653" s="405"/>
      <c r="T653" s="8">
        <f t="shared" si="13"/>
        <v>0</v>
      </c>
    </row>
    <row r="654" spans="1:20" outlineLevel="1" x14ac:dyDescent="0.25">
      <c r="A654" s="286">
        <v>12.1</v>
      </c>
      <c r="B654" s="155" t="s">
        <v>1412</v>
      </c>
      <c r="C654" s="195"/>
      <c r="D654" s="135"/>
      <c r="E654" s="135"/>
      <c r="F654" s="118"/>
      <c r="G654" s="158">
        <v>11.4</v>
      </c>
      <c r="H654" s="258">
        <v>311</v>
      </c>
      <c r="I654" s="159">
        <v>4230</v>
      </c>
      <c r="J654" s="254">
        <v>2.2999999999999998</v>
      </c>
      <c r="L654" s="454" t="str">
        <f>B654</f>
        <v>Personal care</v>
      </c>
      <c r="M654" s="504">
        <f>SUBTOTAL(9,M655:M668)</f>
        <v>0</v>
      </c>
      <c r="N654" s="391"/>
      <c r="O654" s="392"/>
      <c r="P654" s="392"/>
      <c r="Q654" s="546" t="s">
        <v>1074</v>
      </c>
      <c r="R654" s="116" t="s">
        <v>1413</v>
      </c>
      <c r="T654" s="8">
        <f t="shared" si="13"/>
        <v>0.8597560975609756</v>
      </c>
    </row>
    <row r="655" spans="1:20" hidden="1" outlineLevel="1" x14ac:dyDescent="0.25">
      <c r="A655" s="137"/>
      <c r="B655" s="136" t="s">
        <v>1414</v>
      </c>
      <c r="C655" s="136" t="s">
        <v>1415</v>
      </c>
      <c r="D655" s="137"/>
      <c r="E655" s="137"/>
      <c r="F655" s="138"/>
      <c r="G655" s="396">
        <v>3.7</v>
      </c>
      <c r="H655" s="258">
        <v>101</v>
      </c>
      <c r="I655" s="159">
        <v>1160</v>
      </c>
      <c r="J655" s="254">
        <v>4.0999999999999996</v>
      </c>
      <c r="M655" s="533">
        <f>G655*50%</f>
        <v>1.85</v>
      </c>
      <c r="N655" s="534"/>
      <c r="O655" s="530"/>
      <c r="P655" s="405"/>
      <c r="Q655" s="405" t="s">
        <v>822</v>
      </c>
      <c r="R655" t="s">
        <v>1416</v>
      </c>
      <c r="T655" s="8">
        <f t="shared" si="13"/>
        <v>0.23577235772357724</v>
      </c>
    </row>
    <row r="656" spans="1:20" hidden="1" outlineLevel="1" x14ac:dyDescent="0.25">
      <c r="A656" s="137"/>
      <c r="B656" s="136" t="s">
        <v>1417</v>
      </c>
      <c r="C656" s="136" t="s">
        <v>1418</v>
      </c>
      <c r="D656" s="137"/>
      <c r="E656" s="137"/>
      <c r="F656" s="138"/>
      <c r="G656" s="158">
        <v>0.8</v>
      </c>
      <c r="H656" s="258">
        <v>22</v>
      </c>
      <c r="I656" s="159">
        <v>2020</v>
      </c>
      <c r="J656" s="254">
        <v>2.6</v>
      </c>
      <c r="M656" s="500"/>
      <c r="N656" s="391"/>
      <c r="O656" s="392"/>
      <c r="P656" s="405"/>
      <c r="Q656" s="405"/>
      <c r="R656">
        <f>6.2/20</f>
        <v>0.31</v>
      </c>
      <c r="T656" s="8">
        <f t="shared" si="13"/>
        <v>0.41056910569105692</v>
      </c>
    </row>
    <row r="657" spans="1:20" hidden="1" outlineLevel="1" x14ac:dyDescent="0.25">
      <c r="A657" s="137"/>
      <c r="B657" s="136"/>
      <c r="C657" s="200"/>
      <c r="D657" s="137"/>
      <c r="E657" s="137"/>
      <c r="F657" s="138"/>
      <c r="G657" s="158"/>
      <c r="H657" s="258"/>
      <c r="I657" s="159"/>
      <c r="J657" s="254"/>
      <c r="M657" s="500"/>
      <c r="N657" s="391"/>
      <c r="O657" s="392"/>
      <c r="P657" s="405"/>
      <c r="Q657" s="405"/>
      <c r="T657" s="8">
        <f t="shared" si="13"/>
        <v>0</v>
      </c>
    </row>
    <row r="658" spans="1:20" hidden="1" outlineLevel="1" x14ac:dyDescent="0.25">
      <c r="A658" s="137"/>
      <c r="B658" s="136" t="s">
        <v>1419</v>
      </c>
      <c r="C658" s="201" t="s">
        <v>1420</v>
      </c>
      <c r="D658" s="200"/>
      <c r="E658" s="137"/>
      <c r="F658" s="138"/>
      <c r="G658" s="158">
        <v>2.2999999999999998</v>
      </c>
      <c r="H658" s="258">
        <v>64</v>
      </c>
      <c r="I658" s="159">
        <v>3400</v>
      </c>
      <c r="J658" s="254">
        <v>2.2999999999999998</v>
      </c>
      <c r="M658" s="500"/>
      <c r="N658" s="391"/>
      <c r="O658" s="392"/>
      <c r="P658" s="405"/>
      <c r="Q658" s="405"/>
      <c r="T658" s="8">
        <f t="shared" ref="T658:T721" si="15">I658/$I$11</f>
        <v>0.69105691056910568</v>
      </c>
    </row>
    <row r="659" spans="1:20" hidden="1" outlineLevel="1" x14ac:dyDescent="0.25">
      <c r="A659" s="137"/>
      <c r="B659" s="200"/>
      <c r="C659" s="201" t="s">
        <v>1421</v>
      </c>
      <c r="D659" s="136" t="s">
        <v>1422</v>
      </c>
      <c r="E659" s="137"/>
      <c r="F659" s="138"/>
      <c r="G659" s="158">
        <v>1.4</v>
      </c>
      <c r="H659" s="258">
        <v>39</v>
      </c>
      <c r="I659" s="159">
        <v>2880</v>
      </c>
      <c r="J659" s="254">
        <v>2.6</v>
      </c>
      <c r="M659" s="500"/>
      <c r="N659" s="391"/>
      <c r="O659" s="392"/>
      <c r="P659" s="405"/>
      <c r="Q659" s="405"/>
      <c r="T659" s="8">
        <f t="shared" si="15"/>
        <v>0.58536585365853655</v>
      </c>
    </row>
    <row r="660" spans="1:20" hidden="1" outlineLevel="1" x14ac:dyDescent="0.25">
      <c r="A660" s="137"/>
      <c r="B660" s="136"/>
      <c r="C660" s="136" t="s">
        <v>1423</v>
      </c>
      <c r="D660" s="137" t="s">
        <v>1424</v>
      </c>
      <c r="E660" s="137"/>
      <c r="F660" s="138"/>
      <c r="G660" s="158">
        <v>0.5</v>
      </c>
      <c r="H660" s="258">
        <v>12</v>
      </c>
      <c r="I660" s="159">
        <v>1570</v>
      </c>
      <c r="J660" s="254">
        <v>3.8</v>
      </c>
      <c r="M660" s="500"/>
      <c r="N660" s="391"/>
      <c r="O660" s="392"/>
      <c r="P660" s="405"/>
      <c r="Q660" s="405"/>
      <c r="T660" s="8">
        <f t="shared" si="15"/>
        <v>0.31910569105691056</v>
      </c>
    </row>
    <row r="661" spans="1:20" hidden="1" outlineLevel="1" x14ac:dyDescent="0.25">
      <c r="A661" s="137"/>
      <c r="B661" s="136"/>
      <c r="C661" s="136" t="s">
        <v>1425</v>
      </c>
      <c r="D661" s="137" t="s">
        <v>1426</v>
      </c>
      <c r="E661" s="137"/>
      <c r="F661" s="138"/>
      <c r="G661" s="158">
        <v>0.5</v>
      </c>
      <c r="H661" s="258">
        <v>12</v>
      </c>
      <c r="I661" s="159">
        <v>1050</v>
      </c>
      <c r="J661" s="254">
        <v>4.9000000000000004</v>
      </c>
      <c r="M661" s="500"/>
      <c r="N661" s="391"/>
      <c r="O661" s="392"/>
      <c r="P661" s="405"/>
      <c r="Q661" s="405"/>
      <c r="T661" s="8">
        <f t="shared" si="15"/>
        <v>0.21341463414634146</v>
      </c>
    </row>
    <row r="662" spans="1:20" hidden="1" outlineLevel="1" x14ac:dyDescent="0.25">
      <c r="A662" s="137"/>
      <c r="B662" s="200"/>
      <c r="C662" s="201"/>
      <c r="D662" s="200"/>
      <c r="E662" s="137"/>
      <c r="F662" s="138"/>
      <c r="G662" s="158"/>
      <c r="H662" s="258"/>
      <c r="I662" s="159"/>
      <c r="J662" s="257"/>
      <c r="M662" s="500"/>
      <c r="N662" s="391"/>
      <c r="O662" s="392"/>
      <c r="P662" s="405"/>
      <c r="Q662" s="405"/>
      <c r="T662" s="8">
        <f t="shared" si="15"/>
        <v>0</v>
      </c>
    </row>
    <row r="663" spans="1:20" hidden="1" outlineLevel="1" x14ac:dyDescent="0.25">
      <c r="A663" s="137"/>
      <c r="B663" s="136" t="s">
        <v>1427</v>
      </c>
      <c r="C663" s="201" t="s">
        <v>1428</v>
      </c>
      <c r="D663" s="200"/>
      <c r="E663" s="137"/>
      <c r="F663" s="138"/>
      <c r="G663" s="158">
        <v>0.7</v>
      </c>
      <c r="H663" s="258">
        <v>19</v>
      </c>
      <c r="I663" s="159">
        <v>900</v>
      </c>
      <c r="J663" s="254">
        <v>4.5</v>
      </c>
      <c r="K663" s="186"/>
      <c r="L663" s="457"/>
      <c r="M663" s="500"/>
      <c r="N663" s="391"/>
      <c r="O663" s="392"/>
      <c r="P663" s="405"/>
      <c r="Q663" s="405"/>
      <c r="T663" s="8">
        <f t="shared" si="15"/>
        <v>0.18292682926829268</v>
      </c>
    </row>
    <row r="664" spans="1:20" hidden="1" outlineLevel="1" x14ac:dyDescent="0.25">
      <c r="A664" s="137"/>
      <c r="B664" s="136"/>
      <c r="C664" s="200"/>
      <c r="D664" s="200"/>
      <c r="E664" s="137"/>
      <c r="F664" s="138"/>
      <c r="G664" s="158"/>
      <c r="H664" s="258"/>
      <c r="I664" s="159"/>
      <c r="J664" s="254"/>
      <c r="K664" s="186"/>
      <c r="L664" s="457"/>
      <c r="M664" s="505"/>
      <c r="T664" s="8">
        <f t="shared" si="15"/>
        <v>0</v>
      </c>
    </row>
    <row r="665" spans="1:20" hidden="1" outlineLevel="1" x14ac:dyDescent="0.25">
      <c r="A665" s="137"/>
      <c r="B665" s="136" t="s">
        <v>1429</v>
      </c>
      <c r="C665" s="136" t="s">
        <v>1430</v>
      </c>
      <c r="D665" s="200"/>
      <c r="E665" s="137"/>
      <c r="F665" s="138"/>
      <c r="G665" s="396">
        <v>3.9</v>
      </c>
      <c r="H665" s="258">
        <v>105</v>
      </c>
      <c r="I665" s="159">
        <v>2590</v>
      </c>
      <c r="J665" s="254">
        <v>3.5</v>
      </c>
      <c r="K665" s="337"/>
      <c r="L665" s="458"/>
      <c r="M665" s="505">
        <f>SUBTOTAL(9,M666:M668)</f>
        <v>0</v>
      </c>
      <c r="T665" s="8">
        <f t="shared" si="15"/>
        <v>0.52642276422764223</v>
      </c>
    </row>
    <row r="666" spans="1:20" hidden="1" outlineLevel="1" x14ac:dyDescent="0.25">
      <c r="A666" s="137"/>
      <c r="B666" s="136"/>
      <c r="C666" s="136" t="s">
        <v>1431</v>
      </c>
      <c r="D666" s="136" t="s">
        <v>1432</v>
      </c>
      <c r="E666" s="137"/>
      <c r="F666" s="138"/>
      <c r="G666" s="158">
        <v>0.8</v>
      </c>
      <c r="H666" s="258">
        <v>23</v>
      </c>
      <c r="I666" s="159">
        <v>1480</v>
      </c>
      <c r="J666" s="254">
        <v>4.0999999999999996</v>
      </c>
      <c r="K666" s="337"/>
      <c r="L666" s="458"/>
      <c r="M666" s="505">
        <f>G666*50%</f>
        <v>0.4</v>
      </c>
      <c r="T666" s="8">
        <f t="shared" si="15"/>
        <v>0.30081300813008133</v>
      </c>
    </row>
    <row r="667" spans="1:20" hidden="1" outlineLevel="1" x14ac:dyDescent="0.25">
      <c r="A667" s="137"/>
      <c r="B667" s="136"/>
      <c r="C667" s="136" t="s">
        <v>1433</v>
      </c>
      <c r="D667" s="136" t="s">
        <v>1434</v>
      </c>
      <c r="E667" s="137"/>
      <c r="F667" s="138"/>
      <c r="G667" s="158">
        <v>2.7</v>
      </c>
      <c r="H667" s="258">
        <v>74</v>
      </c>
      <c r="I667" s="159">
        <v>1930</v>
      </c>
      <c r="J667" s="254">
        <v>4.2</v>
      </c>
      <c r="K667" s="476"/>
      <c r="L667" s="459"/>
      <c r="M667" s="505">
        <f>G667*50%</f>
        <v>1.35</v>
      </c>
      <c r="T667" s="8">
        <f t="shared" si="15"/>
        <v>0.39227642276422764</v>
      </c>
    </row>
    <row r="668" spans="1:20" hidden="1" outlineLevel="1" x14ac:dyDescent="0.25">
      <c r="A668" s="137"/>
      <c r="B668" s="136"/>
      <c r="C668" s="136" t="s">
        <v>1435</v>
      </c>
      <c r="D668" s="136" t="s">
        <v>1436</v>
      </c>
      <c r="E668" s="137"/>
      <c r="F668" s="138"/>
      <c r="G668" s="158">
        <v>0.3</v>
      </c>
      <c r="H668" s="258">
        <v>7</v>
      </c>
      <c r="I668" s="159">
        <v>90</v>
      </c>
      <c r="J668" s="254">
        <v>15.2</v>
      </c>
      <c r="K668" s="476"/>
      <c r="L668" s="459"/>
      <c r="M668" s="505">
        <f>G668</f>
        <v>0.3</v>
      </c>
      <c r="T668" s="8">
        <f t="shared" si="15"/>
        <v>1.8292682926829267E-2</v>
      </c>
    </row>
    <row r="669" spans="1:20" hidden="1" outlineLevel="1" x14ac:dyDescent="0.25">
      <c r="A669" s="286"/>
      <c r="B669" s="155"/>
      <c r="C669" s="292"/>
      <c r="D669" s="135"/>
      <c r="E669" s="135"/>
      <c r="F669" s="249"/>
      <c r="G669" s="197"/>
      <c r="H669" s="353"/>
      <c r="I669" s="239"/>
      <c r="J669" s="199"/>
      <c r="K669" s="476"/>
      <c r="L669" s="459"/>
      <c r="M669" s="505"/>
      <c r="T669" s="8">
        <f t="shared" si="15"/>
        <v>0</v>
      </c>
    </row>
    <row r="670" spans="1:20" outlineLevel="1" x14ac:dyDescent="0.25">
      <c r="A670" s="286">
        <v>12.2</v>
      </c>
      <c r="B670" s="196" t="s">
        <v>1437</v>
      </c>
      <c r="C670" s="195"/>
      <c r="D670" s="135"/>
      <c r="E670" s="135"/>
      <c r="F670" s="249"/>
      <c r="G670" s="396">
        <v>3.4</v>
      </c>
      <c r="H670" s="258">
        <v>93</v>
      </c>
      <c r="I670" s="159">
        <v>1130</v>
      </c>
      <c r="J670" s="254">
        <v>8.6999999999999993</v>
      </c>
      <c r="K670" s="476"/>
      <c r="L670" s="460" t="str">
        <f>B670</f>
        <v xml:space="preserve">Personal effects </v>
      </c>
      <c r="M670" s="542">
        <f>G670</f>
        <v>3.4</v>
      </c>
      <c r="N670" s="116"/>
      <c r="O670" s="116"/>
      <c r="P670" s="116"/>
      <c r="Q670" s="116" t="s">
        <v>587</v>
      </c>
      <c r="R670" s="116" t="s">
        <v>1338</v>
      </c>
      <c r="T670" s="8">
        <f t="shared" si="15"/>
        <v>0.22967479674796748</v>
      </c>
    </row>
    <row r="671" spans="1:20" hidden="1" outlineLevel="1" x14ac:dyDescent="0.25">
      <c r="A671" s="137"/>
      <c r="B671" s="136" t="s">
        <v>1438</v>
      </c>
      <c r="C671" s="137" t="s">
        <v>1439</v>
      </c>
      <c r="D671" s="137"/>
      <c r="E671" s="137"/>
      <c r="F671" s="138"/>
      <c r="G671" s="158">
        <v>1.9</v>
      </c>
      <c r="H671" s="258">
        <v>52</v>
      </c>
      <c r="I671" s="159">
        <v>760</v>
      </c>
      <c r="J671" s="254">
        <v>13.4</v>
      </c>
      <c r="K671" s="476"/>
      <c r="L671" s="459"/>
      <c r="M671" s="505"/>
      <c r="T671" s="8">
        <f t="shared" si="15"/>
        <v>0.15447154471544716</v>
      </c>
    </row>
    <row r="672" spans="1:20" hidden="1" outlineLevel="1" x14ac:dyDescent="0.25">
      <c r="A672" s="137"/>
      <c r="B672" s="136" t="s">
        <v>1440</v>
      </c>
      <c r="C672" s="137" t="s">
        <v>1441</v>
      </c>
      <c r="D672" s="137"/>
      <c r="E672" s="137"/>
      <c r="F672" s="138"/>
      <c r="G672" s="158">
        <v>0.9</v>
      </c>
      <c r="H672" s="258">
        <v>24</v>
      </c>
      <c r="I672" s="159">
        <v>390</v>
      </c>
      <c r="J672" s="254">
        <v>8.4</v>
      </c>
      <c r="K672" s="476"/>
      <c r="L672" s="459"/>
      <c r="M672" s="505"/>
      <c r="T672" s="8">
        <f t="shared" si="15"/>
        <v>7.926829268292683E-2</v>
      </c>
    </row>
    <row r="673" spans="1:20" hidden="1" outlineLevel="1" x14ac:dyDescent="0.25">
      <c r="A673" s="137"/>
      <c r="B673" s="136" t="s">
        <v>1442</v>
      </c>
      <c r="C673" s="137" t="s">
        <v>1443</v>
      </c>
      <c r="D673" s="137"/>
      <c r="E673" s="137"/>
      <c r="F673" s="138"/>
      <c r="G673" s="158">
        <v>0.1</v>
      </c>
      <c r="H673" s="258">
        <v>3</v>
      </c>
      <c r="I673" s="159">
        <v>80</v>
      </c>
      <c r="J673" s="254">
        <v>22.1</v>
      </c>
      <c r="K673" s="476"/>
      <c r="L673" s="459"/>
      <c r="M673" s="505"/>
      <c r="T673" s="8">
        <f t="shared" si="15"/>
        <v>1.6260162601626018E-2</v>
      </c>
    </row>
    <row r="674" spans="1:20" hidden="1" outlineLevel="1" x14ac:dyDescent="0.25">
      <c r="A674" s="137"/>
      <c r="B674" s="136" t="s">
        <v>1444</v>
      </c>
      <c r="C674" s="137" t="s">
        <v>1445</v>
      </c>
      <c r="D674" s="137"/>
      <c r="E674" s="137"/>
      <c r="F674" s="138"/>
      <c r="G674" s="158">
        <v>0.3</v>
      </c>
      <c r="H674" s="258">
        <v>7</v>
      </c>
      <c r="I674" s="159">
        <v>50</v>
      </c>
      <c r="J674" s="254">
        <v>25.6</v>
      </c>
      <c r="K674" s="476"/>
      <c r="L674" s="459"/>
      <c r="M674" s="505"/>
      <c r="T674" s="8">
        <f t="shared" si="15"/>
        <v>1.016260162601626E-2</v>
      </c>
    </row>
    <row r="675" spans="1:20" hidden="1" outlineLevel="1" x14ac:dyDescent="0.25">
      <c r="A675" s="137"/>
      <c r="B675" s="136" t="s">
        <v>1446</v>
      </c>
      <c r="C675" s="137" t="s">
        <v>1447</v>
      </c>
      <c r="D675" s="137"/>
      <c r="E675" s="138"/>
      <c r="F675" s="138"/>
      <c r="G675" s="376">
        <v>0.2</v>
      </c>
      <c r="H675" s="375">
        <v>4</v>
      </c>
      <c r="I675" s="172">
        <v>20</v>
      </c>
      <c r="J675" s="254">
        <v>42.2</v>
      </c>
      <c r="K675" s="476"/>
      <c r="L675" s="459"/>
      <c r="M675" s="505"/>
      <c r="T675" s="8">
        <f t="shared" si="15"/>
        <v>4.0650406504065045E-3</v>
      </c>
    </row>
    <row r="676" spans="1:20" hidden="1" outlineLevel="1" x14ac:dyDescent="0.25">
      <c r="A676" s="195"/>
      <c r="B676" s="136" t="s">
        <v>1448</v>
      </c>
      <c r="C676" s="136" t="s">
        <v>1449</v>
      </c>
      <c r="D676" s="137"/>
      <c r="E676" s="137"/>
      <c r="F676" s="137"/>
      <c r="G676" s="158">
        <v>0.1</v>
      </c>
      <c r="H676" s="349">
        <v>2</v>
      </c>
      <c r="I676" s="172">
        <v>30</v>
      </c>
      <c r="J676" s="254">
        <v>26.7</v>
      </c>
      <c r="K676" s="476"/>
      <c r="L676" s="459"/>
      <c r="M676" s="505"/>
      <c r="T676" s="8">
        <f t="shared" si="15"/>
        <v>6.0975609756097563E-3</v>
      </c>
    </row>
    <row r="677" spans="1:20" hidden="1" outlineLevel="1" x14ac:dyDescent="0.25">
      <c r="A677" s="137"/>
      <c r="B677" s="137"/>
      <c r="C677" s="137"/>
      <c r="D677" s="137"/>
      <c r="E677" s="137"/>
      <c r="F677" s="137"/>
      <c r="G677" s="158"/>
      <c r="H677" s="349"/>
      <c r="I677" s="135"/>
      <c r="J677" s="271"/>
      <c r="K677" s="476"/>
      <c r="L677" s="459"/>
      <c r="M677" s="505"/>
      <c r="T677" s="8">
        <f t="shared" si="15"/>
        <v>0</v>
      </c>
    </row>
    <row r="678" spans="1:20" outlineLevel="1" x14ac:dyDescent="0.25">
      <c r="A678" s="286">
        <v>12.3</v>
      </c>
      <c r="B678" s="155" t="s">
        <v>1450</v>
      </c>
      <c r="C678" s="135"/>
      <c r="D678" s="249"/>
      <c r="E678" s="249"/>
      <c r="F678" s="249"/>
      <c r="G678" s="397">
        <v>4.4000000000000004</v>
      </c>
      <c r="H678" s="349">
        <v>119</v>
      </c>
      <c r="I678" s="172">
        <v>260</v>
      </c>
      <c r="J678" s="254">
        <v>9.6</v>
      </c>
      <c r="K678" s="476"/>
      <c r="L678" s="460" t="str">
        <f>B678</f>
        <v>Social protection</v>
      </c>
      <c r="M678" s="542">
        <f>G678</f>
        <v>4.4000000000000004</v>
      </c>
      <c r="N678" s="116"/>
      <c r="O678" s="116"/>
      <c r="P678" s="116"/>
      <c r="Q678" s="116" t="s">
        <v>587</v>
      </c>
      <c r="R678" s="116" t="s">
        <v>1451</v>
      </c>
      <c r="T678" s="8">
        <f t="shared" si="15"/>
        <v>5.2845528455284556E-2</v>
      </c>
    </row>
    <row r="679" spans="1:20" hidden="1" outlineLevel="1" x14ac:dyDescent="0.25">
      <c r="A679" s="137"/>
      <c r="B679" s="136" t="s">
        <v>1452</v>
      </c>
      <c r="C679" s="137" t="s">
        <v>1453</v>
      </c>
      <c r="D679" s="137"/>
      <c r="E679" s="138"/>
      <c r="F679" s="138"/>
      <c r="G679" s="376">
        <v>0</v>
      </c>
      <c r="H679" s="375">
        <v>1</v>
      </c>
      <c r="I679" s="256" t="s">
        <v>610</v>
      </c>
      <c r="J679" s="254">
        <v>56.8</v>
      </c>
      <c r="K679" s="476"/>
      <c r="L679" s="459"/>
      <c r="M679" s="505"/>
      <c r="T679" s="8" t="e">
        <f t="shared" si="15"/>
        <v>#VALUE!</v>
      </c>
    </row>
    <row r="680" spans="1:20" hidden="1" outlineLevel="1" x14ac:dyDescent="0.25">
      <c r="A680" s="137"/>
      <c r="B680" s="136" t="s">
        <v>1454</v>
      </c>
      <c r="C680" s="137" t="s">
        <v>1455</v>
      </c>
      <c r="D680" s="137"/>
      <c r="E680" s="138"/>
      <c r="F680" s="138"/>
      <c r="G680" s="171">
        <v>0.4</v>
      </c>
      <c r="H680" s="349">
        <v>11</v>
      </c>
      <c r="I680" s="172">
        <v>20</v>
      </c>
      <c r="J680" s="254">
        <v>25.8</v>
      </c>
      <c r="K680" s="476"/>
      <c r="L680" s="459"/>
      <c r="T680" s="8">
        <f t="shared" si="15"/>
        <v>4.0650406504065045E-3</v>
      </c>
    </row>
    <row r="681" spans="1:20" hidden="1" outlineLevel="1" x14ac:dyDescent="0.25">
      <c r="A681" s="137"/>
      <c r="B681" s="136" t="s">
        <v>1456</v>
      </c>
      <c r="C681" s="137" t="s">
        <v>1457</v>
      </c>
      <c r="D681" s="137"/>
      <c r="E681" s="138"/>
      <c r="F681" s="138"/>
      <c r="G681" s="401">
        <v>1.3</v>
      </c>
      <c r="H681" s="349">
        <v>36</v>
      </c>
      <c r="I681" s="172">
        <v>70</v>
      </c>
      <c r="J681" s="254">
        <v>17.399999999999999</v>
      </c>
      <c r="K681" s="476"/>
      <c r="L681" s="459"/>
      <c r="M681" s="400"/>
      <c r="T681" s="8">
        <f t="shared" si="15"/>
        <v>1.4227642276422764E-2</v>
      </c>
    </row>
    <row r="682" spans="1:20" hidden="1" outlineLevel="1" x14ac:dyDescent="0.25">
      <c r="A682" s="137"/>
      <c r="B682" s="136" t="s">
        <v>1458</v>
      </c>
      <c r="C682" s="137" t="s">
        <v>1459</v>
      </c>
      <c r="D682" s="137"/>
      <c r="E682" s="138"/>
      <c r="F682" s="138"/>
      <c r="G682" s="401">
        <v>2.6</v>
      </c>
      <c r="H682" s="349">
        <v>72</v>
      </c>
      <c r="I682" s="172">
        <v>180</v>
      </c>
      <c r="J682" s="254">
        <v>12.1</v>
      </c>
      <c r="K682" s="476"/>
      <c r="L682" s="459"/>
      <c r="M682" s="505"/>
      <c r="T682" s="8">
        <f t="shared" si="15"/>
        <v>3.6585365853658534E-2</v>
      </c>
    </row>
    <row r="683" spans="1:20" hidden="1" outlineLevel="1" x14ac:dyDescent="0.25">
      <c r="A683" s="214"/>
      <c r="B683" s="213"/>
      <c r="C683" s="213"/>
      <c r="D683" s="214"/>
      <c r="E683" s="214"/>
      <c r="F683" s="214"/>
      <c r="G683" s="278"/>
      <c r="H683" s="344"/>
      <c r="I683" s="293"/>
      <c r="J683" s="331"/>
      <c r="K683" s="476"/>
      <c r="L683" s="459"/>
      <c r="M683" s="484"/>
      <c r="T683" s="8">
        <f t="shared" si="15"/>
        <v>0</v>
      </c>
    </row>
    <row r="684" spans="1:20" hidden="1" outlineLevel="1" x14ac:dyDescent="0.25">
      <c r="A684" s="137"/>
      <c r="B684" s="137"/>
      <c r="C684" s="137"/>
      <c r="D684" s="137"/>
      <c r="E684" s="137"/>
      <c r="F684" s="137"/>
      <c r="G684" s="139"/>
      <c r="H684" s="362"/>
      <c r="I684" s="137"/>
      <c r="J684" s="137"/>
      <c r="K684" s="476"/>
      <c r="L684" s="459"/>
      <c r="M684" s="484"/>
      <c r="T684" s="8">
        <f t="shared" si="15"/>
        <v>0</v>
      </c>
    </row>
    <row r="685" spans="1:20" hidden="1" outlineLevel="1" x14ac:dyDescent="0.25">
      <c r="A685" s="43" t="s">
        <v>775</v>
      </c>
      <c r="B685" s="200"/>
      <c r="C685" s="136"/>
      <c r="D685" s="137"/>
      <c r="E685" s="202"/>
      <c r="F685" s="204"/>
      <c r="G685" s="217"/>
      <c r="H685" s="361"/>
      <c r="I685" s="118"/>
      <c r="J685" s="118"/>
      <c r="K685" s="476"/>
      <c r="L685" s="459"/>
      <c r="M685" s="501"/>
      <c r="T685" s="8">
        <f t="shared" si="15"/>
        <v>0</v>
      </c>
    </row>
    <row r="686" spans="1:20" hidden="1" outlineLevel="1" x14ac:dyDescent="0.25">
      <c r="A686" s="43" t="s">
        <v>776</v>
      </c>
      <c r="B686" s="200"/>
      <c r="C686" s="136"/>
      <c r="D686" s="137"/>
      <c r="E686" s="202"/>
      <c r="F686" s="204"/>
      <c r="G686" s="217"/>
      <c r="H686" s="361"/>
      <c r="I686" s="118"/>
      <c r="J686" s="118"/>
      <c r="K686" s="476"/>
      <c r="L686" s="459"/>
      <c r="M686" s="501"/>
      <c r="T686" s="8">
        <f t="shared" si="15"/>
        <v>0</v>
      </c>
    </row>
    <row r="687" spans="1:20" hidden="1" outlineLevel="1" x14ac:dyDescent="0.25">
      <c r="A687" s="43" t="s">
        <v>613</v>
      </c>
      <c r="B687" s="200"/>
      <c r="C687" s="136"/>
      <c r="D687" s="137"/>
      <c r="E687" s="202"/>
      <c r="F687" s="204"/>
      <c r="G687" s="217"/>
      <c r="H687" s="361"/>
      <c r="I687" s="118"/>
      <c r="J687" s="118"/>
      <c r="K687" s="476"/>
      <c r="L687" s="459"/>
      <c r="M687" s="501"/>
      <c r="T687" s="8">
        <f t="shared" si="15"/>
        <v>0</v>
      </c>
    </row>
    <row r="688" spans="1:20" hidden="1" outlineLevel="1" x14ac:dyDescent="0.25">
      <c r="K688" s="476"/>
      <c r="L688" s="459"/>
      <c r="T688" s="8">
        <f t="shared" si="15"/>
        <v>0</v>
      </c>
    </row>
    <row r="689" spans="1:20" hidden="1" outlineLevel="1" x14ac:dyDescent="0.25">
      <c r="A689" s="220"/>
      <c r="B689" s="118"/>
      <c r="C689" s="118"/>
      <c r="D689" s="118"/>
      <c r="E689" s="118"/>
      <c r="F689" s="118"/>
      <c r="G689" s="118"/>
      <c r="H689" s="118"/>
      <c r="I689" s="118"/>
      <c r="J689" s="118"/>
      <c r="K689" s="476"/>
      <c r="L689" s="459"/>
      <c r="M689" s="501"/>
      <c r="T689" s="8">
        <f t="shared" si="15"/>
        <v>0</v>
      </c>
    </row>
    <row r="690" spans="1:20" hidden="1" outlineLevel="1" x14ac:dyDescent="0.25">
      <c r="K690" s="476"/>
      <c r="L690" s="459"/>
      <c r="T690" s="8">
        <f t="shared" si="15"/>
        <v>0</v>
      </c>
    </row>
    <row r="691" spans="1:20" hidden="1" outlineLevel="1" x14ac:dyDescent="0.25">
      <c r="K691" s="476"/>
      <c r="L691" s="459"/>
      <c r="T691" s="8">
        <f t="shared" si="15"/>
        <v>0</v>
      </c>
    </row>
    <row r="692" spans="1:20" hidden="1" outlineLevel="1" x14ac:dyDescent="0.25">
      <c r="K692" s="476"/>
      <c r="L692" s="459"/>
      <c r="T692" s="8">
        <f t="shared" si="15"/>
        <v>0</v>
      </c>
    </row>
    <row r="693" spans="1:20" hidden="1" outlineLevel="1" x14ac:dyDescent="0.25">
      <c r="K693" s="476"/>
      <c r="L693" s="459"/>
      <c r="T693" s="8">
        <f t="shared" si="15"/>
        <v>0</v>
      </c>
    </row>
    <row r="694" spans="1:20" hidden="1" outlineLevel="1" x14ac:dyDescent="0.25">
      <c r="K694" s="476"/>
      <c r="L694" s="459"/>
      <c r="T694" s="8">
        <f t="shared" si="15"/>
        <v>0</v>
      </c>
    </row>
    <row r="695" spans="1:20" hidden="1" outlineLevel="1" x14ac:dyDescent="0.25">
      <c r="K695" s="187"/>
      <c r="L695" s="461"/>
      <c r="T695" s="8">
        <f t="shared" si="15"/>
        <v>0</v>
      </c>
    </row>
    <row r="696" spans="1:20" hidden="1" outlineLevel="1" x14ac:dyDescent="0.25">
      <c r="K696" s="187"/>
      <c r="L696" s="461"/>
      <c r="T696" s="8">
        <f t="shared" si="15"/>
        <v>0</v>
      </c>
    </row>
    <row r="697" spans="1:20" hidden="1" outlineLevel="1" x14ac:dyDescent="0.25">
      <c r="K697" s="187"/>
      <c r="L697" s="461"/>
      <c r="T697" s="8">
        <f t="shared" si="15"/>
        <v>0</v>
      </c>
    </row>
    <row r="698" spans="1:20" hidden="1" outlineLevel="1" x14ac:dyDescent="0.25">
      <c r="A698" s="135"/>
      <c r="B698" s="135"/>
      <c r="C698" s="118"/>
      <c r="D698" s="135"/>
      <c r="E698" s="135"/>
      <c r="F698" s="135"/>
      <c r="G698" s="118"/>
      <c r="H698" s="118"/>
      <c r="I698" s="135"/>
      <c r="J698" s="135"/>
      <c r="K698" s="187"/>
      <c r="L698" s="461"/>
      <c r="T698" s="8">
        <f t="shared" si="15"/>
        <v>0</v>
      </c>
    </row>
    <row r="699" spans="1:20" hidden="1" outlineLevel="1" x14ac:dyDescent="0.25">
      <c r="A699" s="137"/>
      <c r="B699" s="137"/>
      <c r="C699" s="137"/>
      <c r="D699" s="137"/>
      <c r="E699" s="137"/>
      <c r="F699" s="137"/>
      <c r="G699" s="139"/>
      <c r="H699" s="362"/>
      <c r="I699" s="137"/>
      <c r="J699" s="137"/>
      <c r="K699" s="187"/>
      <c r="L699" s="461"/>
      <c r="T699" s="8">
        <f t="shared" si="15"/>
        <v>0</v>
      </c>
    </row>
    <row r="700" spans="1:20" hidden="1" outlineLevel="1" x14ac:dyDescent="0.25">
      <c r="A700" s="137"/>
      <c r="B700" s="137"/>
      <c r="C700" s="137"/>
      <c r="D700" s="137"/>
      <c r="E700" s="137"/>
      <c r="F700" s="137"/>
      <c r="G700" s="139"/>
      <c r="H700" s="362"/>
      <c r="I700" s="137"/>
      <c r="J700" s="137"/>
      <c r="K700" s="187"/>
      <c r="L700" s="461"/>
      <c r="T700" s="8">
        <f t="shared" si="15"/>
        <v>0</v>
      </c>
    </row>
    <row r="701" spans="1:20" hidden="1" outlineLevel="1" x14ac:dyDescent="0.25">
      <c r="A701" s="137"/>
      <c r="B701" s="136"/>
      <c r="C701" s="136"/>
      <c r="D701" s="137"/>
      <c r="E701" s="138"/>
      <c r="F701" s="138"/>
      <c r="G701" s="139"/>
      <c r="H701" s="362"/>
      <c r="I701" s="140"/>
      <c r="J701" s="141"/>
      <c r="K701" s="187"/>
      <c r="L701" s="461"/>
      <c r="T701" s="8">
        <f t="shared" si="15"/>
        <v>0</v>
      </c>
    </row>
    <row r="702" spans="1:20" ht="15.75" hidden="1" outlineLevel="1" x14ac:dyDescent="0.25">
      <c r="A702" s="334" t="s">
        <v>648</v>
      </c>
      <c r="B702" s="205"/>
      <c r="C702" s="205"/>
      <c r="D702" s="205"/>
      <c r="E702" s="205"/>
      <c r="F702" s="205"/>
      <c r="G702" s="294"/>
      <c r="H702" s="368"/>
      <c r="I702" s="205"/>
      <c r="J702" s="205"/>
      <c r="K702" s="187"/>
      <c r="L702" s="461"/>
      <c r="T702" s="8">
        <f t="shared" si="15"/>
        <v>0</v>
      </c>
    </row>
    <row r="703" spans="1:20" ht="35.25" hidden="1" outlineLevel="1" x14ac:dyDescent="0.25">
      <c r="A703" s="103" t="s">
        <v>777</v>
      </c>
      <c r="B703" s="119"/>
      <c r="C703" s="126"/>
      <c r="D703" s="121"/>
      <c r="E703" s="121"/>
      <c r="F703" s="122"/>
      <c r="G703" s="123"/>
      <c r="H703" s="343"/>
      <c r="I703" s="124"/>
      <c r="J703" s="223"/>
      <c r="K703" s="187"/>
      <c r="L703" s="461"/>
      <c r="T703" s="8">
        <f t="shared" si="15"/>
        <v>0</v>
      </c>
    </row>
    <row r="704" spans="1:20" ht="18" hidden="1" outlineLevel="1" x14ac:dyDescent="0.25">
      <c r="A704" s="339" t="s">
        <v>643</v>
      </c>
      <c r="B704" s="340"/>
      <c r="C704" s="337"/>
      <c r="D704" s="338"/>
      <c r="E704" s="121"/>
      <c r="F704" s="122"/>
      <c r="G704" s="123"/>
      <c r="H704" s="343"/>
      <c r="I704" s="124"/>
      <c r="J704" s="223"/>
      <c r="K704" s="187"/>
      <c r="L704" s="461"/>
      <c r="T704" s="8">
        <f t="shared" si="15"/>
        <v>0</v>
      </c>
    </row>
    <row r="705" spans="1:20" hidden="1" outlineLevel="1" x14ac:dyDescent="0.25">
      <c r="A705" s="129"/>
      <c r="B705" s="129"/>
      <c r="C705" s="130"/>
      <c r="D705" s="131"/>
      <c r="E705" s="131"/>
      <c r="F705" s="131"/>
      <c r="G705" s="132"/>
      <c r="H705" s="348"/>
      <c r="I705" s="133"/>
      <c r="J705" s="134"/>
      <c r="K705" s="187"/>
      <c r="L705" s="461"/>
      <c r="T705" s="8">
        <f t="shared" si="15"/>
        <v>0</v>
      </c>
    </row>
    <row r="706" spans="1:20" hidden="1" outlineLevel="1" x14ac:dyDescent="0.25">
      <c r="A706" s="128"/>
      <c r="B706" s="128"/>
      <c r="C706" s="137"/>
      <c r="D706" s="138"/>
      <c r="E706" s="138"/>
      <c r="F706" s="138"/>
      <c r="G706" s="139"/>
      <c r="H706" s="362"/>
      <c r="I706" s="140"/>
      <c r="J706" s="141"/>
      <c r="K706" s="187"/>
      <c r="L706" s="461"/>
      <c r="M706" s="484"/>
      <c r="T706" s="8">
        <f t="shared" si="15"/>
        <v>0</v>
      </c>
    </row>
    <row r="707" spans="1:20" hidden="1" outlineLevel="1" x14ac:dyDescent="0.25">
      <c r="A707" s="224"/>
      <c r="B707" s="224"/>
      <c r="C707" s="225"/>
      <c r="D707" s="226"/>
      <c r="E707" s="226"/>
      <c r="F707" s="144"/>
      <c r="G707" s="145" t="s">
        <v>650</v>
      </c>
      <c r="H707" s="345" t="s">
        <v>284</v>
      </c>
      <c r="I707" s="146" t="s">
        <v>651</v>
      </c>
      <c r="J707" s="147" t="s">
        <v>652</v>
      </c>
      <c r="K707" s="187"/>
      <c r="L707" s="461"/>
      <c r="M707" s="486"/>
      <c r="T707" s="8" t="e">
        <f t="shared" si="15"/>
        <v>#VALUE!</v>
      </c>
    </row>
    <row r="708" spans="1:20" hidden="1" outlineLevel="1" x14ac:dyDescent="0.25">
      <c r="A708" s="224"/>
      <c r="B708" s="224"/>
      <c r="C708" s="227"/>
      <c r="D708" s="226"/>
      <c r="E708" s="226"/>
      <c r="F708" s="144"/>
      <c r="G708" s="149" t="s">
        <v>653</v>
      </c>
      <c r="H708" s="345" t="s">
        <v>654</v>
      </c>
      <c r="I708" s="146" t="s">
        <v>655</v>
      </c>
      <c r="J708" s="147" t="s">
        <v>656</v>
      </c>
      <c r="K708" s="187"/>
      <c r="L708" s="461"/>
      <c r="M708" s="486"/>
      <c r="T708" s="8" t="e">
        <f t="shared" si="15"/>
        <v>#VALUE!</v>
      </c>
    </row>
    <row r="709" spans="1:20" hidden="1" outlineLevel="1" x14ac:dyDescent="0.25">
      <c r="A709" s="224"/>
      <c r="B709" s="224"/>
      <c r="C709" s="227"/>
      <c r="D709" s="226"/>
      <c r="E709" s="226"/>
      <c r="F709" s="144"/>
      <c r="G709" s="145" t="s">
        <v>657</v>
      </c>
      <c r="H709" s="345" t="s">
        <v>653</v>
      </c>
      <c r="I709" s="146" t="s">
        <v>658</v>
      </c>
      <c r="J709" s="151" t="s">
        <v>659</v>
      </c>
      <c r="K709" s="187"/>
      <c r="L709" s="461"/>
      <c r="M709" s="486"/>
      <c r="T709" s="8" t="e">
        <f t="shared" si="15"/>
        <v>#VALUE!</v>
      </c>
    </row>
    <row r="710" spans="1:20" hidden="1" outlineLevel="1" x14ac:dyDescent="0.25">
      <c r="A710" s="224"/>
      <c r="B710" s="224"/>
      <c r="C710" s="227"/>
      <c r="D710" s="226"/>
      <c r="E710" s="226"/>
      <c r="F710" s="144"/>
      <c r="G710" s="149" t="s">
        <v>660</v>
      </c>
      <c r="H710" s="345" t="s">
        <v>661</v>
      </c>
      <c r="I710" s="146" t="s">
        <v>662</v>
      </c>
      <c r="J710" s="152" t="s">
        <v>663</v>
      </c>
      <c r="K710" s="187"/>
      <c r="L710" s="461"/>
      <c r="M710" s="486"/>
      <c r="T710" s="8" t="e">
        <f t="shared" si="15"/>
        <v>#VALUE!</v>
      </c>
    </row>
    <row r="711" spans="1:20" hidden="1" outlineLevel="1" x14ac:dyDescent="0.25">
      <c r="A711" s="129"/>
      <c r="B711" s="129"/>
      <c r="C711" s="130"/>
      <c r="D711" s="131"/>
      <c r="E711" s="131"/>
      <c r="F711" s="131"/>
      <c r="G711" s="132"/>
      <c r="H711" s="348"/>
      <c r="I711" s="133"/>
      <c r="J711" s="131"/>
      <c r="K711" s="187"/>
      <c r="L711" s="461"/>
      <c r="M711" s="501"/>
      <c r="T711" s="8">
        <f t="shared" si="15"/>
        <v>0</v>
      </c>
    </row>
    <row r="712" spans="1:20" hidden="1" outlineLevel="1" x14ac:dyDescent="0.25">
      <c r="A712" s="118"/>
      <c r="B712" s="128"/>
      <c r="C712" s="156"/>
      <c r="D712" s="157"/>
      <c r="E712" s="157"/>
      <c r="F712" s="138"/>
      <c r="G712" s="158"/>
      <c r="H712" s="258"/>
      <c r="I712" s="159"/>
      <c r="J712" s="157"/>
      <c r="K712" s="187"/>
      <c r="L712" s="461"/>
      <c r="M712" s="501"/>
      <c r="T712" s="8">
        <f t="shared" si="15"/>
        <v>0</v>
      </c>
    </row>
    <row r="713" spans="1:20" hidden="1" outlineLevel="1" x14ac:dyDescent="0.25">
      <c r="A713" s="174" t="s">
        <v>607</v>
      </c>
      <c r="B713" s="175"/>
      <c r="C713" s="176"/>
      <c r="D713" s="164"/>
      <c r="E713" s="164"/>
      <c r="F713" s="177" t="s">
        <v>536</v>
      </c>
      <c r="G713" s="178"/>
      <c r="H713" s="350"/>
      <c r="I713" s="179"/>
      <c r="J713" s="164"/>
      <c r="K713" s="187"/>
      <c r="L713" s="461"/>
      <c r="M713" s="502"/>
      <c r="T713" s="8">
        <f t="shared" si="15"/>
        <v>0</v>
      </c>
    </row>
    <row r="714" spans="1:20" hidden="1" outlineLevel="1" x14ac:dyDescent="0.25">
      <c r="A714" s="180"/>
      <c r="B714" s="180"/>
      <c r="C714" s="181"/>
      <c r="D714" s="135"/>
      <c r="E714" s="135"/>
      <c r="F714" s="182"/>
      <c r="G714" s="171"/>
      <c r="H714" s="349"/>
      <c r="I714" s="172"/>
      <c r="J714" s="173"/>
      <c r="K714" s="187"/>
      <c r="L714" s="461"/>
      <c r="M714" s="482"/>
      <c r="T714" s="8">
        <f t="shared" si="15"/>
        <v>0</v>
      </c>
    </row>
    <row r="715" spans="1:20" hidden="1" outlineLevel="1" x14ac:dyDescent="0.25">
      <c r="A715" s="137"/>
      <c r="B715" s="136"/>
      <c r="C715" s="136"/>
      <c r="D715" s="206"/>
      <c r="E715" s="206"/>
      <c r="F715" s="138"/>
      <c r="G715" s="217"/>
      <c r="H715" s="361"/>
      <c r="I715" s="218"/>
      <c r="J715" s="219"/>
      <c r="K715" s="187"/>
      <c r="L715" s="461"/>
      <c r="M715" s="484"/>
      <c r="R715">
        <f>6.2/20</f>
        <v>0.31</v>
      </c>
      <c r="T715" s="8">
        <f t="shared" si="15"/>
        <v>0</v>
      </c>
    </row>
    <row r="716" spans="1:20" hidden="1" outlineLevel="1" x14ac:dyDescent="0.25">
      <c r="A716" s="234">
        <v>12</v>
      </c>
      <c r="B716" s="234" t="s">
        <v>1460</v>
      </c>
      <c r="C716" s="295"/>
      <c r="D716" s="295"/>
      <c r="E716" s="295"/>
      <c r="F716" s="205"/>
      <c r="G716" s="294"/>
      <c r="H716" s="368"/>
      <c r="I716" s="205"/>
      <c r="J716" s="141"/>
      <c r="K716" s="187"/>
      <c r="L716" s="441"/>
      <c r="M716" s="493"/>
      <c r="T716" s="8">
        <f t="shared" si="15"/>
        <v>0</v>
      </c>
    </row>
    <row r="717" spans="1:20" hidden="1" outlineLevel="1" x14ac:dyDescent="0.25">
      <c r="A717" s="137"/>
      <c r="B717" s="136"/>
      <c r="C717" s="136"/>
      <c r="D717" s="137"/>
      <c r="E717" s="138"/>
      <c r="F717" s="138"/>
      <c r="G717" s="139"/>
      <c r="H717" s="362"/>
      <c r="I717" s="140"/>
      <c r="J717" s="141"/>
      <c r="K717" s="187"/>
      <c r="L717" s="461"/>
      <c r="M717" s="493"/>
      <c r="T717" s="8">
        <f t="shared" si="15"/>
        <v>0</v>
      </c>
    </row>
    <row r="718" spans="1:20" outlineLevel="1" x14ac:dyDescent="0.25">
      <c r="A718" s="286">
        <v>12.4</v>
      </c>
      <c r="B718" s="155" t="s">
        <v>1461</v>
      </c>
      <c r="C718" s="118"/>
      <c r="D718" s="118"/>
      <c r="E718" s="118"/>
      <c r="F718" s="118"/>
      <c r="G718" s="171">
        <v>15.6</v>
      </c>
      <c r="H718" s="349">
        <v>425</v>
      </c>
      <c r="I718" s="172">
        <v>4330</v>
      </c>
      <c r="J718" s="254">
        <v>1.9</v>
      </c>
      <c r="K718" s="187"/>
      <c r="L718" s="441" t="str">
        <f>B718</f>
        <v>Insurance</v>
      </c>
      <c r="M718" s="543">
        <f>M719+M724+M726+M730</f>
        <v>1.9000000000000001</v>
      </c>
      <c r="N718" s="116"/>
      <c r="O718" s="116"/>
      <c r="P718" s="116"/>
      <c r="Q718" s="116"/>
      <c r="R718" s="116"/>
      <c r="T718" s="8">
        <f t="shared" si="15"/>
        <v>0.88008130081300817</v>
      </c>
    </row>
    <row r="719" spans="1:20" hidden="1" outlineLevel="1" x14ac:dyDescent="0.25">
      <c r="A719" s="137"/>
      <c r="B719" s="136" t="s">
        <v>1462</v>
      </c>
      <c r="C719" s="136" t="s">
        <v>1463</v>
      </c>
      <c r="D719" s="137"/>
      <c r="E719" s="138"/>
      <c r="F719" s="138"/>
      <c r="G719" s="171">
        <v>4.5999999999999996</v>
      </c>
      <c r="H719" s="349">
        <v>124</v>
      </c>
      <c r="I719" s="172">
        <v>3810</v>
      </c>
      <c r="J719" s="254">
        <v>1.9</v>
      </c>
      <c r="K719" s="187"/>
      <c r="L719" s="461"/>
      <c r="M719" s="505">
        <f>SUBTOTAL(9,M720:M722)</f>
        <v>0</v>
      </c>
      <c r="T719" s="8">
        <f t="shared" si="15"/>
        <v>0.77439024390243905</v>
      </c>
    </row>
    <row r="720" spans="1:20" hidden="1" outlineLevel="1" x14ac:dyDescent="0.25">
      <c r="A720" s="137"/>
      <c r="B720" s="136"/>
      <c r="C720" s="136" t="s">
        <v>1464</v>
      </c>
      <c r="D720" s="137" t="s">
        <v>1465</v>
      </c>
      <c r="E720" s="138"/>
      <c r="F720" s="138"/>
      <c r="G720" s="171">
        <v>2.2999999999999998</v>
      </c>
      <c r="H720" s="349">
        <v>63</v>
      </c>
      <c r="I720" s="172">
        <v>3150</v>
      </c>
      <c r="J720" s="254">
        <v>2.2000000000000002</v>
      </c>
      <c r="K720" s="187"/>
      <c r="L720" s="461"/>
      <c r="M720" s="505"/>
      <c r="T720" s="8">
        <f t="shared" si="15"/>
        <v>0.6402439024390244</v>
      </c>
    </row>
    <row r="721" spans="1:20" hidden="1" outlineLevel="1" x14ac:dyDescent="0.25">
      <c r="A721" s="137"/>
      <c r="B721" s="136"/>
      <c r="C721" s="136" t="s">
        <v>1466</v>
      </c>
      <c r="D721" s="137" t="s">
        <v>1467</v>
      </c>
      <c r="E721" s="138"/>
      <c r="F721" s="138"/>
      <c r="G721" s="171">
        <v>2.2000000000000002</v>
      </c>
      <c r="H721" s="349">
        <v>59</v>
      </c>
      <c r="I721" s="172">
        <v>3690</v>
      </c>
      <c r="J721" s="254">
        <v>1.9</v>
      </c>
      <c r="K721" s="187"/>
      <c r="L721" s="461"/>
      <c r="M721" s="505"/>
      <c r="T721" s="8">
        <f t="shared" si="15"/>
        <v>0.75</v>
      </c>
    </row>
    <row r="722" spans="1:20" hidden="1" outlineLevel="1" x14ac:dyDescent="0.25">
      <c r="A722" s="137"/>
      <c r="B722" s="136"/>
      <c r="C722" s="136" t="s">
        <v>1468</v>
      </c>
      <c r="D722" s="137" t="s">
        <v>1469</v>
      </c>
      <c r="E722" s="138"/>
      <c r="F722" s="138"/>
      <c r="G722" s="401">
        <v>0.1</v>
      </c>
      <c r="H722" s="349">
        <v>2</v>
      </c>
      <c r="I722" s="172">
        <v>70</v>
      </c>
      <c r="J722" s="254">
        <v>20.7</v>
      </c>
      <c r="K722" s="187"/>
      <c r="L722" s="461"/>
      <c r="M722" s="505">
        <f>G722</f>
        <v>0.1</v>
      </c>
      <c r="T722" s="8">
        <f t="shared" ref="T722:T785" si="16">I722/$I$11</f>
        <v>1.4227642276422764E-2</v>
      </c>
    </row>
    <row r="723" spans="1:20" hidden="1" outlineLevel="1" x14ac:dyDescent="0.25">
      <c r="A723" s="137"/>
      <c r="B723" s="136"/>
      <c r="C723" s="136"/>
      <c r="D723" s="137"/>
      <c r="E723" s="138"/>
      <c r="F723" s="138"/>
      <c r="G723" s="171"/>
      <c r="H723" s="349"/>
      <c r="I723" s="172"/>
      <c r="J723" s="271"/>
      <c r="K723" s="187"/>
      <c r="L723" s="461"/>
      <c r="M723" s="505"/>
      <c r="T723" s="8">
        <f t="shared" si="16"/>
        <v>0</v>
      </c>
    </row>
    <row r="724" spans="1:20" hidden="1" outlineLevel="1" x14ac:dyDescent="0.25">
      <c r="A724" s="137"/>
      <c r="B724" s="136" t="s">
        <v>1470</v>
      </c>
      <c r="C724" s="136" t="s">
        <v>1471</v>
      </c>
      <c r="D724" s="137"/>
      <c r="E724" s="138"/>
      <c r="F724" s="138"/>
      <c r="G724" s="401">
        <v>1.6</v>
      </c>
      <c r="H724" s="349">
        <v>44</v>
      </c>
      <c r="I724" s="172">
        <v>570</v>
      </c>
      <c r="J724" s="254">
        <v>6.8</v>
      </c>
      <c r="K724" s="187"/>
      <c r="L724" s="461"/>
      <c r="M724" s="505">
        <f>G724</f>
        <v>1.6</v>
      </c>
      <c r="T724" s="8">
        <f t="shared" si="16"/>
        <v>0.11585365853658537</v>
      </c>
    </row>
    <row r="725" spans="1:20" hidden="1" outlineLevel="1" x14ac:dyDescent="0.25">
      <c r="A725" s="137"/>
      <c r="B725" s="136"/>
      <c r="C725" s="136"/>
      <c r="D725" s="137"/>
      <c r="E725" s="138"/>
      <c r="F725" s="138"/>
      <c r="G725" s="171"/>
      <c r="H725" s="349"/>
      <c r="I725" s="172"/>
      <c r="J725" s="271"/>
      <c r="K725" s="187"/>
      <c r="L725" s="461"/>
      <c r="M725" s="505"/>
      <c r="T725" s="8">
        <f t="shared" si="16"/>
        <v>0</v>
      </c>
    </row>
    <row r="726" spans="1:20" hidden="1" outlineLevel="1" x14ac:dyDescent="0.25">
      <c r="A726" s="137"/>
      <c r="B726" s="136" t="s">
        <v>1472</v>
      </c>
      <c r="C726" s="136" t="s">
        <v>1473</v>
      </c>
      <c r="D726" s="137"/>
      <c r="E726" s="138"/>
      <c r="F726" s="138"/>
      <c r="G726" s="171">
        <v>9.1999999999999993</v>
      </c>
      <c r="H726" s="349">
        <v>250</v>
      </c>
      <c r="I726" s="172">
        <v>3790</v>
      </c>
      <c r="J726" s="254">
        <v>2.2000000000000002</v>
      </c>
      <c r="K726" s="187"/>
      <c r="L726" s="461"/>
      <c r="M726" s="505">
        <f>SUBTOTAL(9,M727:M728)</f>
        <v>0</v>
      </c>
      <c r="T726" s="8">
        <f t="shared" si="16"/>
        <v>0.77032520325203258</v>
      </c>
    </row>
    <row r="727" spans="1:20" hidden="1" outlineLevel="1" x14ac:dyDescent="0.25">
      <c r="A727" s="137"/>
      <c r="B727" s="136"/>
      <c r="C727" s="136" t="s">
        <v>1474</v>
      </c>
      <c r="D727" s="137" t="s">
        <v>1475</v>
      </c>
      <c r="E727" s="138"/>
      <c r="F727" s="138"/>
      <c r="G727" s="171">
        <v>9.1</v>
      </c>
      <c r="H727" s="349">
        <v>247</v>
      </c>
      <c r="I727" s="172">
        <v>3790</v>
      </c>
      <c r="J727" s="254">
        <v>2</v>
      </c>
      <c r="K727" s="187"/>
      <c r="L727" s="461"/>
      <c r="M727" s="505"/>
      <c r="T727" s="8">
        <f t="shared" si="16"/>
        <v>0.77032520325203258</v>
      </c>
    </row>
    <row r="728" spans="1:20" hidden="1" outlineLevel="1" x14ac:dyDescent="0.25">
      <c r="A728" s="137"/>
      <c r="B728" s="136"/>
      <c r="C728" s="136" t="s">
        <v>1476</v>
      </c>
      <c r="D728" s="137" t="s">
        <v>1477</v>
      </c>
      <c r="E728" s="138"/>
      <c r="F728" s="138"/>
      <c r="G728" s="402">
        <v>0.1</v>
      </c>
      <c r="H728" s="375">
        <v>4</v>
      </c>
      <c r="I728" s="256" t="s">
        <v>610</v>
      </c>
      <c r="J728" s="254">
        <v>71.099999999999994</v>
      </c>
      <c r="K728" s="187"/>
      <c r="L728" s="461"/>
      <c r="M728" s="505">
        <f>G728</f>
        <v>0.1</v>
      </c>
      <c r="T728" s="8" t="e">
        <f t="shared" si="16"/>
        <v>#VALUE!</v>
      </c>
    </row>
    <row r="729" spans="1:20" hidden="1" outlineLevel="1" x14ac:dyDescent="0.25">
      <c r="A729" s="136"/>
      <c r="B729" s="136"/>
      <c r="C729" s="137"/>
      <c r="D729" s="138"/>
      <c r="E729" s="138"/>
      <c r="F729" s="138"/>
      <c r="G729" s="171"/>
      <c r="H729" s="349"/>
      <c r="I729" s="172"/>
      <c r="J729" s="271"/>
      <c r="K729" s="187"/>
      <c r="L729" s="461"/>
      <c r="M729" s="505"/>
      <c r="T729" s="8">
        <f t="shared" si="16"/>
        <v>0</v>
      </c>
    </row>
    <row r="730" spans="1:20" hidden="1" outlineLevel="1" x14ac:dyDescent="0.25">
      <c r="A730" s="137"/>
      <c r="B730" s="136" t="s">
        <v>1478</v>
      </c>
      <c r="C730" s="136" t="s">
        <v>1479</v>
      </c>
      <c r="D730" s="137"/>
      <c r="E730" s="138"/>
      <c r="F730" s="138"/>
      <c r="G730" s="171">
        <v>0.3</v>
      </c>
      <c r="H730" s="349">
        <v>7</v>
      </c>
      <c r="I730" s="172">
        <v>60</v>
      </c>
      <c r="J730" s="254">
        <v>31.8</v>
      </c>
      <c r="K730" s="187"/>
      <c r="L730" s="461"/>
      <c r="M730" s="505">
        <f>G730</f>
        <v>0.3</v>
      </c>
      <c r="T730" s="8">
        <f t="shared" si="16"/>
        <v>1.2195121951219513E-2</v>
      </c>
    </row>
    <row r="731" spans="1:20" hidden="1" outlineLevel="1" x14ac:dyDescent="0.25">
      <c r="A731" s="137"/>
      <c r="B731" s="136"/>
      <c r="C731" s="137"/>
      <c r="D731" s="137"/>
      <c r="E731" s="138"/>
      <c r="F731" s="138"/>
      <c r="G731" s="171"/>
      <c r="H731" s="349"/>
      <c r="I731" s="135"/>
      <c r="J731" s="254"/>
      <c r="K731" s="187"/>
      <c r="L731" s="461"/>
      <c r="M731" s="505"/>
      <c r="T731" s="8">
        <f t="shared" si="16"/>
        <v>0</v>
      </c>
    </row>
    <row r="732" spans="1:20" outlineLevel="1" x14ac:dyDescent="0.25">
      <c r="A732" s="286">
        <v>12.5</v>
      </c>
      <c r="B732" s="155" t="s">
        <v>1071</v>
      </c>
      <c r="C732" s="137"/>
      <c r="D732" s="137"/>
      <c r="E732" s="138"/>
      <c r="F732" s="138"/>
      <c r="G732" s="401">
        <v>4.8</v>
      </c>
      <c r="H732" s="349">
        <v>132</v>
      </c>
      <c r="I732" s="172">
        <v>1780</v>
      </c>
      <c r="J732" s="254">
        <v>11.5</v>
      </c>
      <c r="K732" s="187"/>
      <c r="L732" s="441" t="str">
        <f>B732</f>
        <v>Other services</v>
      </c>
      <c r="M732" s="542">
        <f>G732</f>
        <v>4.8</v>
      </c>
      <c r="N732" s="116"/>
      <c r="O732" s="116"/>
      <c r="P732" s="116"/>
      <c r="Q732" s="116"/>
      <c r="R732" s="116" t="s">
        <v>1480</v>
      </c>
      <c r="T732" s="8">
        <f t="shared" si="16"/>
        <v>0.36178861788617889</v>
      </c>
    </row>
    <row r="733" spans="1:20" hidden="1" outlineLevel="1" x14ac:dyDescent="0.25">
      <c r="A733" s="118"/>
      <c r="B733" s="136" t="s">
        <v>1481</v>
      </c>
      <c r="C733" s="136" t="s">
        <v>1482</v>
      </c>
      <c r="D733" s="118"/>
      <c r="E733" s="118"/>
      <c r="F733" s="118"/>
      <c r="G733" s="171">
        <v>2.9</v>
      </c>
      <c r="H733" s="349">
        <v>78</v>
      </c>
      <c r="I733" s="172">
        <v>300</v>
      </c>
      <c r="J733" s="254">
        <v>8.6999999999999993</v>
      </c>
      <c r="K733" s="187"/>
      <c r="L733" s="461"/>
      <c r="M733" s="505"/>
      <c r="T733" s="8">
        <f t="shared" si="16"/>
        <v>6.097560975609756E-2</v>
      </c>
    </row>
    <row r="734" spans="1:20" hidden="1" outlineLevel="1" x14ac:dyDescent="0.25">
      <c r="A734" s="135"/>
      <c r="B734" s="135"/>
      <c r="C734" s="136" t="s">
        <v>1483</v>
      </c>
      <c r="D734" s="137" t="s">
        <v>1484</v>
      </c>
      <c r="E734" s="118"/>
      <c r="F734" s="118"/>
      <c r="G734" s="171">
        <v>0.3</v>
      </c>
      <c r="H734" s="349">
        <v>8</v>
      </c>
      <c r="I734" s="172">
        <v>140</v>
      </c>
      <c r="J734" s="254">
        <v>18.2</v>
      </c>
      <c r="K734" s="187"/>
      <c r="L734" s="461"/>
      <c r="M734" s="505"/>
      <c r="T734" s="8">
        <f t="shared" si="16"/>
        <v>2.8455284552845527E-2</v>
      </c>
    </row>
    <row r="735" spans="1:20" hidden="1" outlineLevel="1" x14ac:dyDescent="0.25">
      <c r="A735" s="137"/>
      <c r="B735" s="137"/>
      <c r="C735" s="136" t="s">
        <v>1485</v>
      </c>
      <c r="D735" s="137" t="s">
        <v>1486</v>
      </c>
      <c r="E735" s="138"/>
      <c r="F735" s="138"/>
      <c r="G735" s="171">
        <v>1.4</v>
      </c>
      <c r="H735" s="349">
        <v>38</v>
      </c>
      <c r="I735" s="172">
        <v>100</v>
      </c>
      <c r="J735" s="254">
        <v>13</v>
      </c>
      <c r="K735" s="187"/>
      <c r="L735" s="461"/>
      <c r="M735" s="505"/>
      <c r="T735" s="8">
        <f t="shared" si="16"/>
        <v>2.032520325203252E-2</v>
      </c>
    </row>
    <row r="736" spans="1:20" hidden="1" outlineLevel="1" x14ac:dyDescent="0.25">
      <c r="A736" s="137"/>
      <c r="B736" s="136"/>
      <c r="C736" s="136" t="s">
        <v>1487</v>
      </c>
      <c r="D736" s="137" t="s">
        <v>1488</v>
      </c>
      <c r="E736" s="138"/>
      <c r="F736" s="138"/>
      <c r="G736" s="171">
        <v>0.6</v>
      </c>
      <c r="H736" s="349">
        <v>16</v>
      </c>
      <c r="I736" s="172">
        <v>40</v>
      </c>
      <c r="J736" s="254">
        <v>20.399999999999999</v>
      </c>
      <c r="K736" s="187"/>
      <c r="L736" s="461"/>
      <c r="M736" s="505"/>
      <c r="T736" s="8">
        <f t="shared" si="16"/>
        <v>8.130081300813009E-3</v>
      </c>
    </row>
    <row r="737" spans="1:20" hidden="1" outlineLevel="1" x14ac:dyDescent="0.25">
      <c r="A737" s="137"/>
      <c r="B737" s="136"/>
      <c r="C737" s="136" t="s">
        <v>1489</v>
      </c>
      <c r="D737" s="137" t="s">
        <v>1490</v>
      </c>
      <c r="E737" s="138"/>
      <c r="F737" s="138"/>
      <c r="G737" s="171">
        <v>0.4</v>
      </c>
      <c r="H737" s="349">
        <v>10</v>
      </c>
      <c r="I737" s="172">
        <v>60</v>
      </c>
      <c r="J737" s="254">
        <v>16.100000000000001</v>
      </c>
      <c r="K737" s="187"/>
      <c r="L737" s="461"/>
      <c r="M737" s="505"/>
      <c r="T737" s="8">
        <f t="shared" si="16"/>
        <v>1.2195121951219513E-2</v>
      </c>
    </row>
    <row r="738" spans="1:20" hidden="1" outlineLevel="1" x14ac:dyDescent="0.25">
      <c r="A738" s="137"/>
      <c r="B738" s="136"/>
      <c r="C738" s="136" t="s">
        <v>1491</v>
      </c>
      <c r="D738" s="137" t="s">
        <v>1492</v>
      </c>
      <c r="E738" s="138"/>
      <c r="F738" s="138"/>
      <c r="G738" s="171">
        <v>0.2</v>
      </c>
      <c r="H738" s="349">
        <v>6</v>
      </c>
      <c r="I738" s="172">
        <v>80</v>
      </c>
      <c r="J738" s="254">
        <v>17.600000000000001</v>
      </c>
      <c r="K738" s="187"/>
      <c r="L738" s="461"/>
      <c r="M738" s="505"/>
      <c r="T738" s="8">
        <f t="shared" si="16"/>
        <v>1.6260162601626018E-2</v>
      </c>
    </row>
    <row r="739" spans="1:20" hidden="1" outlineLevel="1" x14ac:dyDescent="0.25">
      <c r="A739" s="137"/>
      <c r="B739" s="136"/>
      <c r="C739" s="137"/>
      <c r="D739" s="137"/>
      <c r="E739" s="138"/>
      <c r="F739" s="138"/>
      <c r="G739" s="171"/>
      <c r="H739" s="349"/>
      <c r="I739" s="135"/>
      <c r="J739" s="254"/>
      <c r="K739" s="187"/>
      <c r="L739" s="461"/>
      <c r="M739" s="505"/>
      <c r="T739" s="8">
        <f t="shared" si="16"/>
        <v>0</v>
      </c>
    </row>
    <row r="740" spans="1:20" hidden="1" outlineLevel="1" x14ac:dyDescent="0.25">
      <c r="A740" s="137"/>
      <c r="B740" s="136" t="s">
        <v>1493</v>
      </c>
      <c r="C740" s="136" t="s">
        <v>1494</v>
      </c>
      <c r="D740" s="137"/>
      <c r="E740" s="138"/>
      <c r="F740" s="138"/>
      <c r="G740" s="401">
        <v>0.6</v>
      </c>
      <c r="H740" s="349">
        <v>16</v>
      </c>
      <c r="I740" s="172">
        <v>1170</v>
      </c>
      <c r="J740" s="254">
        <v>6.9</v>
      </c>
      <c r="K740" s="187"/>
      <c r="L740" s="461"/>
      <c r="M740" s="505"/>
      <c r="R740" t="s">
        <v>1495</v>
      </c>
      <c r="T740" s="8">
        <f t="shared" si="16"/>
        <v>0.23780487804878048</v>
      </c>
    </row>
    <row r="741" spans="1:20" hidden="1" outlineLevel="1" x14ac:dyDescent="0.25">
      <c r="A741" s="137"/>
      <c r="B741" s="136"/>
      <c r="C741" s="137" t="s">
        <v>1496</v>
      </c>
      <c r="D741" s="137" t="s">
        <v>1497</v>
      </c>
      <c r="E741" s="138"/>
      <c r="F741" s="138"/>
      <c r="G741" s="171">
        <v>0.5</v>
      </c>
      <c r="H741" s="349">
        <v>14</v>
      </c>
      <c r="I741" s="172">
        <v>1030</v>
      </c>
      <c r="J741" s="254">
        <v>7.6</v>
      </c>
      <c r="K741" s="187"/>
      <c r="L741" s="461"/>
      <c r="M741" s="505"/>
      <c r="T741" s="8">
        <f t="shared" si="16"/>
        <v>0.20934959349593496</v>
      </c>
    </row>
    <row r="742" spans="1:20" hidden="1" outlineLevel="1" x14ac:dyDescent="0.25">
      <c r="A742" s="137"/>
      <c r="B742" s="136"/>
      <c r="C742" s="137" t="s">
        <v>1498</v>
      </c>
      <c r="D742" s="137" t="s">
        <v>1499</v>
      </c>
      <c r="E742" s="138"/>
      <c r="F742" s="138"/>
      <c r="G742" s="380">
        <v>0</v>
      </c>
      <c r="H742" s="375">
        <v>0</v>
      </c>
      <c r="I742" s="256" t="s">
        <v>610</v>
      </c>
      <c r="J742" s="254">
        <v>57.2</v>
      </c>
      <c r="K742" s="187"/>
      <c r="L742" s="461"/>
      <c r="M742" s="505"/>
      <c r="T742" s="8" t="e">
        <f t="shared" si="16"/>
        <v>#VALUE!</v>
      </c>
    </row>
    <row r="743" spans="1:20" hidden="1" outlineLevel="1" x14ac:dyDescent="0.25">
      <c r="A743" s="137"/>
      <c r="B743" s="136"/>
      <c r="C743" s="137" t="s">
        <v>1500</v>
      </c>
      <c r="D743" s="137" t="s">
        <v>1501</v>
      </c>
      <c r="E743" s="138"/>
      <c r="F743" s="138"/>
      <c r="G743" s="171">
        <v>0.1</v>
      </c>
      <c r="H743" s="349">
        <v>2</v>
      </c>
      <c r="I743" s="172">
        <v>230</v>
      </c>
      <c r="J743" s="254">
        <v>10.8</v>
      </c>
      <c r="K743" s="187"/>
      <c r="L743" s="461"/>
      <c r="M743" s="505"/>
      <c r="T743" s="8">
        <f t="shared" si="16"/>
        <v>4.6747967479674794E-2</v>
      </c>
    </row>
    <row r="744" spans="1:20" hidden="1" outlineLevel="1" x14ac:dyDescent="0.25">
      <c r="A744" s="137"/>
      <c r="B744" s="136"/>
      <c r="C744" s="137" t="s">
        <v>1502</v>
      </c>
      <c r="D744" s="137" t="s">
        <v>1503</v>
      </c>
      <c r="E744" s="138"/>
      <c r="F744" s="138"/>
      <c r="G744" s="377">
        <v>0</v>
      </c>
      <c r="H744" s="375">
        <v>0</v>
      </c>
      <c r="I744" s="256" t="s">
        <v>610</v>
      </c>
      <c r="J744" s="254">
        <v>108.2</v>
      </c>
      <c r="K744" s="187"/>
      <c r="L744" s="461"/>
      <c r="M744" s="505"/>
      <c r="T744" s="8" t="e">
        <f t="shared" si="16"/>
        <v>#VALUE!</v>
      </c>
    </row>
    <row r="745" spans="1:20" hidden="1" outlineLevel="1" x14ac:dyDescent="0.25">
      <c r="A745" s="137"/>
      <c r="B745" s="136"/>
      <c r="C745" s="136"/>
      <c r="D745" s="137"/>
      <c r="E745" s="138"/>
      <c r="F745" s="138"/>
      <c r="G745" s="171"/>
      <c r="H745" s="349"/>
      <c r="I745" s="296"/>
      <c r="J745" s="271"/>
      <c r="K745" s="187"/>
      <c r="L745" s="461"/>
      <c r="M745" s="505"/>
      <c r="T745" s="8">
        <f t="shared" si="16"/>
        <v>0</v>
      </c>
    </row>
    <row r="746" spans="1:20" hidden="1" outlineLevel="1" x14ac:dyDescent="0.25">
      <c r="A746" s="137"/>
      <c r="B746" s="136" t="s">
        <v>1504</v>
      </c>
      <c r="C746" s="136" t="s">
        <v>1505</v>
      </c>
      <c r="D746" s="137"/>
      <c r="E746" s="137"/>
      <c r="F746" s="138"/>
      <c r="G746" s="401">
        <v>1.4</v>
      </c>
      <c r="H746" s="349">
        <v>39</v>
      </c>
      <c r="I746" s="296">
        <v>640</v>
      </c>
      <c r="J746" s="254">
        <v>35.799999999999997</v>
      </c>
      <c r="K746" s="187"/>
      <c r="L746" s="461"/>
      <c r="M746" s="505"/>
      <c r="T746" s="8">
        <f t="shared" si="16"/>
        <v>0.13008130081300814</v>
      </c>
    </row>
    <row r="747" spans="1:20" hidden="1" outlineLevel="1" x14ac:dyDescent="0.25">
      <c r="A747" s="137"/>
      <c r="B747" s="136"/>
      <c r="C747" s="136" t="s">
        <v>1506</v>
      </c>
      <c r="D747" s="137" t="s">
        <v>1507</v>
      </c>
      <c r="E747" s="138"/>
      <c r="F747" s="138"/>
      <c r="G747" s="171">
        <v>0.2</v>
      </c>
      <c r="H747" s="349">
        <v>5</v>
      </c>
      <c r="I747" s="296">
        <v>30</v>
      </c>
      <c r="J747" s="254">
        <v>30</v>
      </c>
      <c r="K747" s="187"/>
      <c r="L747" s="461"/>
      <c r="M747" s="505"/>
      <c r="T747" s="8">
        <f t="shared" si="16"/>
        <v>6.0975609756097563E-3</v>
      </c>
    </row>
    <row r="748" spans="1:20" hidden="1" outlineLevel="1" x14ac:dyDescent="0.25">
      <c r="A748" s="137"/>
      <c r="B748" s="136"/>
      <c r="C748" s="136" t="s">
        <v>1508</v>
      </c>
      <c r="D748" s="137" t="s">
        <v>1509</v>
      </c>
      <c r="E748" s="138"/>
      <c r="F748" s="138"/>
      <c r="G748" s="380">
        <v>0.2</v>
      </c>
      <c r="H748" s="375">
        <v>5</v>
      </c>
      <c r="I748" s="296">
        <v>10</v>
      </c>
      <c r="J748" s="254">
        <v>44.4</v>
      </c>
      <c r="K748" s="187"/>
      <c r="L748" s="461"/>
      <c r="M748" s="505"/>
      <c r="T748" s="8">
        <f t="shared" si="16"/>
        <v>2.0325203252032522E-3</v>
      </c>
    </row>
    <row r="749" spans="1:20" hidden="1" outlineLevel="1" x14ac:dyDescent="0.25">
      <c r="A749" s="137"/>
      <c r="B749" s="137"/>
      <c r="C749" s="136" t="s">
        <v>1510</v>
      </c>
      <c r="D749" s="137" t="s">
        <v>1511</v>
      </c>
      <c r="E749" s="138"/>
      <c r="F749" s="138"/>
      <c r="G749" s="380">
        <v>0.5</v>
      </c>
      <c r="H749" s="375">
        <v>13</v>
      </c>
      <c r="I749" s="256" t="s">
        <v>610</v>
      </c>
      <c r="J749" s="254">
        <v>93.2</v>
      </c>
      <c r="K749" s="187"/>
      <c r="L749" s="461"/>
      <c r="M749" s="505"/>
      <c r="T749" s="8" t="e">
        <f t="shared" si="16"/>
        <v>#VALUE!</v>
      </c>
    </row>
    <row r="750" spans="1:20" hidden="1" outlineLevel="1" x14ac:dyDescent="0.25">
      <c r="A750" s="137"/>
      <c r="B750" s="136"/>
      <c r="C750" s="136" t="s">
        <v>1512</v>
      </c>
      <c r="D750" s="137" t="s">
        <v>1513</v>
      </c>
      <c r="E750" s="138"/>
      <c r="F750" s="138"/>
      <c r="G750" s="171">
        <v>0.5</v>
      </c>
      <c r="H750" s="349">
        <v>14</v>
      </c>
      <c r="I750" s="296">
        <v>530</v>
      </c>
      <c r="J750" s="254">
        <v>9.5</v>
      </c>
      <c r="K750" s="187"/>
      <c r="L750" s="461"/>
      <c r="M750" s="505"/>
      <c r="T750" s="8">
        <f t="shared" si="16"/>
        <v>0.10772357723577236</v>
      </c>
    </row>
    <row r="751" spans="1:20" hidden="1" outlineLevel="1" x14ac:dyDescent="0.25">
      <c r="A751" s="137"/>
      <c r="B751" s="136"/>
      <c r="C751" s="136" t="s">
        <v>1514</v>
      </c>
      <c r="D751" s="137" t="s">
        <v>1515</v>
      </c>
      <c r="E751" s="138"/>
      <c r="F751" s="138"/>
      <c r="G751" s="171">
        <v>0.1</v>
      </c>
      <c r="H751" s="349">
        <v>2</v>
      </c>
      <c r="I751" s="296">
        <v>80</v>
      </c>
      <c r="J751" s="254">
        <v>23.8</v>
      </c>
      <c r="K751" s="187"/>
      <c r="L751" s="461"/>
      <c r="M751" s="505"/>
      <c r="T751" s="8">
        <f t="shared" si="16"/>
        <v>1.6260162601626018E-2</v>
      </c>
    </row>
    <row r="752" spans="1:20" hidden="1" outlineLevel="1" x14ac:dyDescent="0.25">
      <c r="A752" s="214"/>
      <c r="B752" s="213"/>
      <c r="C752" s="213"/>
      <c r="D752" s="214"/>
      <c r="E752" s="274"/>
      <c r="F752" s="274"/>
      <c r="G752" s="132"/>
      <c r="H752" s="349"/>
      <c r="I752" s="133"/>
      <c r="J752" s="134"/>
      <c r="K752" s="187"/>
      <c r="L752" s="461"/>
      <c r="M752" s="505"/>
      <c r="T752" s="8">
        <f t="shared" si="16"/>
        <v>0</v>
      </c>
    </row>
    <row r="753" spans="1:20" hidden="1" outlineLevel="1" x14ac:dyDescent="0.25">
      <c r="A753" s="118"/>
      <c r="B753" s="118"/>
      <c r="C753" s="118"/>
      <c r="D753" s="118"/>
      <c r="E753" s="118"/>
      <c r="F753" s="118"/>
      <c r="G753" s="118"/>
      <c r="H753" s="369"/>
      <c r="I753" s="118"/>
      <c r="J753" s="118"/>
      <c r="K753" s="187"/>
      <c r="L753" s="461"/>
      <c r="M753" s="505"/>
      <c r="T753" s="8">
        <f t="shared" si="16"/>
        <v>0</v>
      </c>
    </row>
    <row r="754" spans="1:20" hidden="1" x14ac:dyDescent="0.25">
      <c r="A754" s="184" t="s">
        <v>584</v>
      </c>
      <c r="B754" s="234" t="s">
        <v>585</v>
      </c>
      <c r="C754" s="186"/>
      <c r="D754" s="267"/>
      <c r="E754" s="267"/>
      <c r="F754" s="267"/>
      <c r="G754" s="268">
        <v>455.3</v>
      </c>
      <c r="H754" s="363">
        <v>12395</v>
      </c>
      <c r="I754" s="269">
        <v>4920</v>
      </c>
      <c r="J754" s="330">
        <v>1.2</v>
      </c>
      <c r="K754" s="477"/>
      <c r="L754" s="441"/>
      <c r="M754" s="505"/>
      <c r="T754" s="8">
        <f t="shared" si="16"/>
        <v>1</v>
      </c>
    </row>
    <row r="755" spans="1:20" hidden="1" x14ac:dyDescent="0.25">
      <c r="A755" s="129"/>
      <c r="B755" s="129"/>
      <c r="C755" s="130"/>
      <c r="D755" s="131"/>
      <c r="E755" s="131"/>
      <c r="F755" s="131"/>
      <c r="G755" s="132"/>
      <c r="H755" s="381"/>
      <c r="I755" s="133"/>
      <c r="J755" s="134"/>
      <c r="K755" s="477"/>
      <c r="L755" s="462"/>
      <c r="M755" s="505"/>
      <c r="T755" s="8">
        <f t="shared" si="16"/>
        <v>0</v>
      </c>
    </row>
    <row r="756" spans="1:20" hidden="1" x14ac:dyDescent="0.25">
      <c r="A756" s="155"/>
      <c r="B756" s="155"/>
      <c r="C756" s="135"/>
      <c r="D756" s="249"/>
      <c r="E756" s="249"/>
      <c r="F756" s="249"/>
      <c r="G756" s="171"/>
      <c r="H756" s="382"/>
      <c r="I756" s="172"/>
      <c r="J756" s="271"/>
      <c r="K756" s="477"/>
      <c r="L756" s="462"/>
      <c r="M756" s="505"/>
      <c r="T756" s="8">
        <f t="shared" si="16"/>
        <v>0</v>
      </c>
    </row>
    <row r="757" spans="1:20" x14ac:dyDescent="0.25">
      <c r="A757" s="234">
        <v>13</v>
      </c>
      <c r="B757" s="234" t="s">
        <v>580</v>
      </c>
      <c r="C757" s="186"/>
      <c r="D757" s="267"/>
      <c r="E757" s="267"/>
      <c r="F757" s="267"/>
      <c r="G757" s="268">
        <v>73.599999999999994</v>
      </c>
      <c r="H757" s="363">
        <v>2002</v>
      </c>
      <c r="I757" s="269">
        <v>4730</v>
      </c>
      <c r="J757" s="330">
        <v>4</v>
      </c>
      <c r="K757" s="473">
        <v>13</v>
      </c>
      <c r="L757" s="455" t="str">
        <f>B757</f>
        <v>Other expenditure items</v>
      </c>
      <c r="M757" s="500">
        <f>G757</f>
        <v>73.599999999999994</v>
      </c>
      <c r="N757" s="391">
        <f>G757</f>
        <v>73.599999999999994</v>
      </c>
      <c r="O757" s="392">
        <f t="shared" ref="O757" si="17">M757/N757</f>
        <v>1</v>
      </c>
      <c r="P757" s="392">
        <v>0</v>
      </c>
      <c r="Q757" s="392" t="s">
        <v>587</v>
      </c>
      <c r="R757" s="116" t="s">
        <v>1516</v>
      </c>
      <c r="T757" s="8">
        <f t="shared" si="16"/>
        <v>0.96138211382113825</v>
      </c>
    </row>
    <row r="758" spans="1:20" hidden="1" outlineLevel="1" x14ac:dyDescent="0.25">
      <c r="A758" s="118"/>
      <c r="B758" s="118"/>
      <c r="C758" s="118"/>
      <c r="D758" s="118"/>
      <c r="E758" s="118"/>
      <c r="F758" s="118"/>
      <c r="G758" s="268"/>
      <c r="H758" s="363"/>
      <c r="I758" s="269"/>
      <c r="J758" s="118"/>
      <c r="K758" s="477"/>
      <c r="L758" s="462"/>
      <c r="M758" s="505"/>
      <c r="R758" t="s">
        <v>1517</v>
      </c>
      <c r="T758" s="8">
        <f t="shared" si="16"/>
        <v>0</v>
      </c>
    </row>
    <row r="759" spans="1:20" ht="26.25" outlineLevel="1" x14ac:dyDescent="0.25">
      <c r="A759" s="286">
        <v>13.1</v>
      </c>
      <c r="B759" s="155" t="s">
        <v>1518</v>
      </c>
      <c r="C759" s="118"/>
      <c r="D759" s="118"/>
      <c r="E759" s="118"/>
      <c r="F759" s="118"/>
      <c r="G759" s="171">
        <v>47.3</v>
      </c>
      <c r="H759" s="349">
        <v>1287</v>
      </c>
      <c r="I759" s="172">
        <v>4540</v>
      </c>
      <c r="J759" s="254">
        <v>5.4</v>
      </c>
      <c r="K759" s="477"/>
      <c r="L759" s="441" t="str">
        <f>B759</f>
        <v>Housing: mortgage interest payments, council tax etc</v>
      </c>
      <c r="M759" s="542"/>
      <c r="N759" s="116"/>
      <c r="O759" s="116"/>
      <c r="P759" s="116"/>
      <c r="Q759" s="116" t="s">
        <v>587</v>
      </c>
      <c r="R759" s="116"/>
      <c r="T759" s="8">
        <f t="shared" si="16"/>
        <v>0.92276422764227639</v>
      </c>
    </row>
    <row r="760" spans="1:20" hidden="1" outlineLevel="1" x14ac:dyDescent="0.25">
      <c r="A760" s="277"/>
      <c r="B760" s="136" t="s">
        <v>1519</v>
      </c>
      <c r="C760" s="137" t="s">
        <v>1520</v>
      </c>
      <c r="D760" s="138"/>
      <c r="E760" s="138"/>
      <c r="F760" s="138"/>
      <c r="G760" s="171">
        <v>19</v>
      </c>
      <c r="H760" s="349">
        <v>518</v>
      </c>
      <c r="I760" s="172">
        <v>1510</v>
      </c>
      <c r="J760" s="254">
        <v>3</v>
      </c>
      <c r="K760" s="477"/>
      <c r="L760" s="462"/>
      <c r="M760" s="505"/>
      <c r="T760" s="8">
        <f t="shared" si="16"/>
        <v>0.30691056910569103</v>
      </c>
    </row>
    <row r="761" spans="1:20" hidden="1" outlineLevel="1" x14ac:dyDescent="0.25">
      <c r="A761" s="277"/>
      <c r="B761" s="136" t="s">
        <v>1521</v>
      </c>
      <c r="C761" s="137" t="s">
        <v>1522</v>
      </c>
      <c r="D761" s="138"/>
      <c r="E761" s="138"/>
      <c r="F761" s="138"/>
      <c r="G761" s="171">
        <v>1.2</v>
      </c>
      <c r="H761" s="349">
        <v>32</v>
      </c>
      <c r="I761" s="172">
        <v>620</v>
      </c>
      <c r="J761" s="254">
        <v>6.8</v>
      </c>
      <c r="K761" s="477"/>
      <c r="L761" s="462"/>
      <c r="M761" s="505"/>
      <c r="T761" s="8">
        <f t="shared" si="16"/>
        <v>0.12601626016260162</v>
      </c>
    </row>
    <row r="762" spans="1:20" hidden="1" outlineLevel="1" x14ac:dyDescent="0.25">
      <c r="A762" s="277"/>
      <c r="B762" s="136" t="s">
        <v>1523</v>
      </c>
      <c r="C762" s="137" t="s">
        <v>1524</v>
      </c>
      <c r="D762" s="138"/>
      <c r="E762" s="138"/>
      <c r="F762" s="138"/>
      <c r="G762" s="171">
        <v>21</v>
      </c>
      <c r="H762" s="349">
        <v>573</v>
      </c>
      <c r="I762" s="172">
        <v>4530</v>
      </c>
      <c r="J762" s="254">
        <v>0.9</v>
      </c>
      <c r="K762" s="477"/>
      <c r="L762" s="462"/>
      <c r="M762" s="505"/>
      <c r="T762" s="8">
        <f t="shared" si="16"/>
        <v>0.92073170731707321</v>
      </c>
    </row>
    <row r="763" spans="1:20" hidden="1" outlineLevel="1" x14ac:dyDescent="0.25">
      <c r="A763" s="277"/>
      <c r="B763" s="136" t="s">
        <v>1525</v>
      </c>
      <c r="C763" s="137" t="s">
        <v>1526</v>
      </c>
      <c r="D763" s="138"/>
      <c r="E763" s="138"/>
      <c r="F763" s="138"/>
      <c r="G763" s="171">
        <v>6.1</v>
      </c>
      <c r="H763" s="349">
        <v>165</v>
      </c>
      <c r="I763" s="172">
        <v>90</v>
      </c>
      <c r="J763" s="254">
        <v>40.200000000000003</v>
      </c>
      <c r="K763" s="477"/>
      <c r="L763" s="462"/>
      <c r="M763" s="505"/>
      <c r="T763" s="8">
        <f t="shared" si="16"/>
        <v>1.8292682926829267E-2</v>
      </c>
    </row>
    <row r="764" spans="1:20" hidden="1" outlineLevel="1" x14ac:dyDescent="0.25">
      <c r="A764" s="286"/>
      <c r="B764" s="118"/>
      <c r="C764" s="118"/>
      <c r="D764" s="118"/>
      <c r="E764" s="118"/>
      <c r="F764" s="118"/>
      <c r="G764" s="118"/>
      <c r="H764" s="118"/>
      <c r="I764" s="118"/>
      <c r="J764" s="118"/>
      <c r="K764" s="477"/>
      <c r="L764" s="462"/>
      <c r="M764" s="505"/>
      <c r="T764" s="8">
        <f t="shared" si="16"/>
        <v>0</v>
      </c>
    </row>
    <row r="765" spans="1:20" outlineLevel="1" x14ac:dyDescent="0.25">
      <c r="A765" s="286">
        <v>13.2</v>
      </c>
      <c r="B765" s="155" t="s">
        <v>1527</v>
      </c>
      <c r="C765" s="118"/>
      <c r="D765" s="118"/>
      <c r="E765" s="118"/>
      <c r="F765" s="118"/>
      <c r="G765" s="171">
        <v>3.4</v>
      </c>
      <c r="H765" s="349">
        <v>92</v>
      </c>
      <c r="I765" s="172">
        <v>3640</v>
      </c>
      <c r="J765" s="254">
        <v>2.2000000000000002</v>
      </c>
      <c r="K765" s="477"/>
      <c r="L765" s="441" t="str">
        <f>B765</f>
        <v>Licences, fines and transfers</v>
      </c>
      <c r="M765" s="542"/>
      <c r="N765" s="116"/>
      <c r="O765" s="116"/>
      <c r="P765" s="116"/>
      <c r="Q765" s="116" t="s">
        <v>587</v>
      </c>
      <c r="R765" s="116" t="s">
        <v>1528</v>
      </c>
      <c r="T765" s="8">
        <f t="shared" si="16"/>
        <v>0.73983739837398377</v>
      </c>
    </row>
    <row r="766" spans="1:20" hidden="1" outlineLevel="1" x14ac:dyDescent="0.25">
      <c r="A766" s="277"/>
      <c r="B766" s="136" t="s">
        <v>1529</v>
      </c>
      <c r="C766" s="137" t="s">
        <v>1530</v>
      </c>
      <c r="D766" s="138"/>
      <c r="E766" s="138"/>
      <c r="F766" s="138"/>
      <c r="G766" s="171">
        <v>0.3</v>
      </c>
      <c r="H766" s="349">
        <v>8</v>
      </c>
      <c r="I766" s="172">
        <v>70</v>
      </c>
      <c r="J766" s="254">
        <v>16.600000000000001</v>
      </c>
      <c r="K766" s="477"/>
      <c r="L766" s="462"/>
      <c r="M766" s="505"/>
      <c r="T766" s="8">
        <f t="shared" si="16"/>
        <v>1.4227642276422764E-2</v>
      </c>
    </row>
    <row r="767" spans="1:20" hidden="1" outlineLevel="1" x14ac:dyDescent="0.25">
      <c r="A767" s="277"/>
      <c r="B767" s="136" t="s">
        <v>1531</v>
      </c>
      <c r="C767" s="137" t="s">
        <v>1532</v>
      </c>
      <c r="D767" s="138"/>
      <c r="E767" s="138"/>
      <c r="F767" s="138"/>
      <c r="G767" s="380">
        <v>0.1</v>
      </c>
      <c r="H767" s="375">
        <v>2</v>
      </c>
      <c r="I767" s="159">
        <v>10</v>
      </c>
      <c r="J767" s="254">
        <v>39.200000000000003</v>
      </c>
      <c r="K767" s="477"/>
      <c r="L767" s="462"/>
      <c r="M767" s="505"/>
      <c r="T767" s="8">
        <f t="shared" si="16"/>
        <v>2.0325203252032522E-3</v>
      </c>
    </row>
    <row r="768" spans="1:20" hidden="1" outlineLevel="1" x14ac:dyDescent="0.25">
      <c r="A768" s="277"/>
      <c r="B768" s="136" t="s">
        <v>1533</v>
      </c>
      <c r="C768" s="137" t="s">
        <v>1534</v>
      </c>
      <c r="D768" s="138"/>
      <c r="E768" s="138"/>
      <c r="F768" s="138"/>
      <c r="G768" s="171">
        <v>3</v>
      </c>
      <c r="H768" s="349">
        <v>82</v>
      </c>
      <c r="I768" s="172">
        <v>3630</v>
      </c>
      <c r="J768" s="254">
        <v>1.6</v>
      </c>
      <c r="K768" s="477"/>
      <c r="L768" s="462"/>
      <c r="M768" s="505"/>
      <c r="T768" s="8">
        <f t="shared" si="16"/>
        <v>0.73780487804878048</v>
      </c>
    </row>
    <row r="769" spans="1:20" hidden="1" outlineLevel="1" x14ac:dyDescent="0.25">
      <c r="A769" s="286"/>
      <c r="B769" s="118"/>
      <c r="C769" s="118"/>
      <c r="D769" s="118"/>
      <c r="E769" s="118"/>
      <c r="F769" s="118"/>
      <c r="G769" s="118"/>
      <c r="H769" s="118"/>
      <c r="I769" s="118"/>
      <c r="J769" s="118"/>
      <c r="K769" s="477"/>
      <c r="L769" s="462"/>
      <c r="M769" s="505"/>
      <c r="T769" s="8">
        <f t="shared" si="16"/>
        <v>0</v>
      </c>
    </row>
    <row r="770" spans="1:20" outlineLevel="1" x14ac:dyDescent="0.25">
      <c r="A770" s="286">
        <v>13.3</v>
      </c>
      <c r="B770" s="155" t="s">
        <v>1535</v>
      </c>
      <c r="C770" s="118"/>
      <c r="D770" s="118"/>
      <c r="E770" s="118"/>
      <c r="F770" s="118"/>
      <c r="G770" s="171">
        <v>9.9</v>
      </c>
      <c r="H770" s="349">
        <v>270</v>
      </c>
      <c r="I770" s="172">
        <v>240</v>
      </c>
      <c r="J770" s="254">
        <v>13</v>
      </c>
      <c r="K770" s="477"/>
      <c r="L770" s="441" t="str">
        <f>B770</f>
        <v>Holiday spending</v>
      </c>
      <c r="M770" s="542"/>
      <c r="N770" s="116"/>
      <c r="O770" s="116"/>
      <c r="P770" s="116"/>
      <c r="Q770" s="116" t="s">
        <v>587</v>
      </c>
      <c r="R770" s="116" t="s">
        <v>1338</v>
      </c>
      <c r="T770" s="8">
        <f t="shared" si="16"/>
        <v>4.878048780487805E-2</v>
      </c>
    </row>
    <row r="771" spans="1:20" hidden="1" outlineLevel="1" x14ac:dyDescent="0.25">
      <c r="A771" s="277"/>
      <c r="B771" s="136" t="s">
        <v>1536</v>
      </c>
      <c r="C771" s="137" t="s">
        <v>1537</v>
      </c>
      <c r="D771" s="138"/>
      <c r="E771" s="138"/>
      <c r="F771" s="138"/>
      <c r="G771" s="171">
        <v>9.9</v>
      </c>
      <c r="H771" s="349">
        <v>270</v>
      </c>
      <c r="I771" s="172">
        <v>240</v>
      </c>
      <c r="J771" s="254">
        <v>13</v>
      </c>
      <c r="K771" s="477"/>
      <c r="L771" s="462"/>
      <c r="M771" s="505"/>
      <c r="T771" s="8">
        <f t="shared" si="16"/>
        <v>4.878048780487805E-2</v>
      </c>
    </row>
    <row r="772" spans="1:20" hidden="1" outlineLevel="1" x14ac:dyDescent="0.25">
      <c r="A772" s="277"/>
      <c r="B772" s="136" t="s">
        <v>1538</v>
      </c>
      <c r="C772" s="137" t="s">
        <v>1539</v>
      </c>
      <c r="D772" s="138"/>
      <c r="E772" s="138"/>
      <c r="F772" s="138"/>
      <c r="G772" s="377">
        <v>0</v>
      </c>
      <c r="H772" s="375">
        <v>0</v>
      </c>
      <c r="I772" s="256" t="s">
        <v>610</v>
      </c>
      <c r="J772" s="254">
        <v>109.4</v>
      </c>
      <c r="K772" s="477"/>
      <c r="L772" s="462"/>
      <c r="M772" s="505"/>
      <c r="T772" s="8" t="e">
        <f t="shared" si="16"/>
        <v>#VALUE!</v>
      </c>
    </row>
    <row r="773" spans="1:20" hidden="1" outlineLevel="1" x14ac:dyDescent="0.25">
      <c r="A773" s="297"/>
      <c r="B773" s="129"/>
      <c r="C773" s="130"/>
      <c r="D773" s="131"/>
      <c r="E773" s="131"/>
      <c r="F773" s="131"/>
      <c r="G773" s="132"/>
      <c r="H773" s="381"/>
      <c r="I773" s="133"/>
      <c r="J773" s="134"/>
      <c r="K773" s="468"/>
      <c r="L773" s="435"/>
      <c r="M773" s="501"/>
      <c r="T773" s="8">
        <f t="shared" si="16"/>
        <v>0</v>
      </c>
    </row>
    <row r="774" spans="1:20" hidden="1" outlineLevel="1" x14ac:dyDescent="0.25">
      <c r="A774" s="286"/>
      <c r="B774" s="118"/>
      <c r="C774" s="118"/>
      <c r="D774" s="118"/>
      <c r="E774" s="118"/>
      <c r="F774" s="118"/>
      <c r="G774" s="118"/>
      <c r="H774" s="118"/>
      <c r="I774" s="118"/>
      <c r="J774" s="118"/>
      <c r="K774" s="468"/>
      <c r="L774" s="435"/>
      <c r="M774" s="501"/>
      <c r="T774" s="8">
        <f t="shared" si="16"/>
        <v>0</v>
      </c>
    </row>
    <row r="775" spans="1:20" hidden="1" outlineLevel="1" x14ac:dyDescent="0.25">
      <c r="A775" s="43" t="s">
        <v>775</v>
      </c>
      <c r="B775" s="200"/>
      <c r="C775" s="136"/>
      <c r="D775" s="137"/>
      <c r="E775" s="202"/>
      <c r="F775" s="204"/>
      <c r="G775" s="217"/>
      <c r="H775" s="361"/>
      <c r="I775" s="118"/>
      <c r="J775" s="118"/>
      <c r="K775" s="468"/>
      <c r="L775" s="435"/>
      <c r="M775" s="501"/>
      <c r="T775" s="8">
        <f t="shared" si="16"/>
        <v>0</v>
      </c>
    </row>
    <row r="776" spans="1:20" hidden="1" outlineLevel="1" x14ac:dyDescent="0.25">
      <c r="A776" s="43" t="s">
        <v>776</v>
      </c>
      <c r="B776" s="200"/>
      <c r="C776" s="136"/>
      <c r="D776" s="137"/>
      <c r="E776" s="202"/>
      <c r="F776" s="204"/>
      <c r="G776" s="217"/>
      <c r="H776" s="361"/>
      <c r="I776" s="118"/>
      <c r="J776" s="118"/>
      <c r="K776" s="468"/>
      <c r="L776" s="435"/>
      <c r="M776" s="501"/>
      <c r="T776" s="8">
        <f t="shared" si="16"/>
        <v>0</v>
      </c>
    </row>
    <row r="777" spans="1:20" hidden="1" outlineLevel="1" x14ac:dyDescent="0.25">
      <c r="A777" s="43" t="s">
        <v>613</v>
      </c>
      <c r="B777" s="200"/>
      <c r="C777" s="136"/>
      <c r="D777" s="137"/>
      <c r="E777" s="202"/>
      <c r="F777" s="204"/>
      <c r="G777" s="217"/>
      <c r="H777" s="361"/>
      <c r="I777" s="118"/>
      <c r="J777" s="118"/>
      <c r="K777" s="468"/>
      <c r="L777" s="435"/>
      <c r="M777" s="501"/>
      <c r="T777" s="8">
        <f t="shared" si="16"/>
        <v>0</v>
      </c>
    </row>
    <row r="778" spans="1:20" hidden="1" outlineLevel="1" x14ac:dyDescent="0.25">
      <c r="T778" s="8">
        <f t="shared" si="16"/>
        <v>0</v>
      </c>
    </row>
    <row r="779" spans="1:20" hidden="1" outlineLevel="1" x14ac:dyDescent="0.25">
      <c r="A779" s="220"/>
      <c r="B779" s="118"/>
      <c r="C779" s="118"/>
      <c r="D779" s="118"/>
      <c r="E779" s="118"/>
      <c r="F779" s="118"/>
      <c r="G779" s="118"/>
      <c r="H779" s="118"/>
      <c r="I779" s="118"/>
      <c r="J779" s="118"/>
      <c r="K779" s="468"/>
      <c r="L779" s="435"/>
      <c r="M779" s="501"/>
      <c r="T779" s="8">
        <f t="shared" si="16"/>
        <v>0</v>
      </c>
    </row>
    <row r="780" spans="1:20" hidden="1" outlineLevel="1" x14ac:dyDescent="0.25">
      <c r="T780" s="8">
        <f t="shared" si="16"/>
        <v>0</v>
      </c>
    </row>
    <row r="781" spans="1:20" hidden="1" outlineLevel="1" x14ac:dyDescent="0.25">
      <c r="A781" s="286"/>
      <c r="B781" s="118"/>
      <c r="C781" s="118"/>
      <c r="D781" s="118"/>
      <c r="E781" s="118"/>
      <c r="F781" s="118"/>
      <c r="G781" s="118"/>
      <c r="H781" s="118"/>
      <c r="I781" s="118"/>
      <c r="J781" s="118"/>
      <c r="K781" s="468"/>
      <c r="L781" s="435"/>
      <c r="M781" s="501"/>
      <c r="T781" s="8">
        <f t="shared" si="16"/>
        <v>0</v>
      </c>
    </row>
    <row r="782" spans="1:20" hidden="1" outlineLevel="1" x14ac:dyDescent="0.25">
      <c r="A782" s="286"/>
      <c r="B782" s="118"/>
      <c r="C782" s="118"/>
      <c r="D782" s="118"/>
      <c r="E782" s="118"/>
      <c r="F782" s="118"/>
      <c r="G782" s="118"/>
      <c r="H782" s="118"/>
      <c r="I782" s="118"/>
      <c r="J782" s="118"/>
      <c r="K782" s="468"/>
      <c r="L782" s="435"/>
      <c r="M782" s="501"/>
      <c r="T782" s="8">
        <f t="shared" si="16"/>
        <v>0</v>
      </c>
    </row>
    <row r="783" spans="1:20" hidden="1" outlineLevel="1" x14ac:dyDescent="0.25">
      <c r="A783" s="286"/>
      <c r="B783" s="118"/>
      <c r="C783" s="118"/>
      <c r="D783" s="118"/>
      <c r="E783" s="118"/>
      <c r="F783" s="118"/>
      <c r="G783" s="118"/>
      <c r="H783" s="118"/>
      <c r="I783" s="118"/>
      <c r="J783" s="118"/>
      <c r="K783" s="468"/>
      <c r="L783" s="435"/>
      <c r="M783" s="501"/>
      <c r="T783" s="8">
        <f t="shared" si="16"/>
        <v>0</v>
      </c>
    </row>
    <row r="784" spans="1:20" hidden="1" outlineLevel="1" x14ac:dyDescent="0.25">
      <c r="A784" s="286"/>
      <c r="B784" s="118"/>
      <c r="C784" s="118"/>
      <c r="D784" s="118"/>
      <c r="E784" s="118"/>
      <c r="F784" s="118"/>
      <c r="G784" s="118"/>
      <c r="H784" s="118"/>
      <c r="I784" s="118"/>
      <c r="J784" s="118"/>
      <c r="K784" s="468"/>
      <c r="L784" s="435"/>
      <c r="M784" s="501"/>
      <c r="T784" s="8">
        <f t="shared" si="16"/>
        <v>0</v>
      </c>
    </row>
    <row r="785" spans="1:20" hidden="1" outlineLevel="1" x14ac:dyDescent="0.25">
      <c r="A785" s="286"/>
      <c r="B785" s="118"/>
      <c r="C785" s="118"/>
      <c r="D785" s="118"/>
      <c r="E785" s="118"/>
      <c r="F785" s="118"/>
      <c r="G785" s="118"/>
      <c r="H785" s="118"/>
      <c r="I785" s="118"/>
      <c r="J785" s="118"/>
      <c r="K785" s="468"/>
      <c r="L785" s="435"/>
      <c r="M785" s="501"/>
      <c r="T785" s="8">
        <f t="shared" si="16"/>
        <v>0</v>
      </c>
    </row>
    <row r="786" spans="1:20" hidden="1" outlineLevel="1" x14ac:dyDescent="0.25">
      <c r="A786" s="286"/>
      <c r="B786" s="118"/>
      <c r="C786" s="118"/>
      <c r="D786" s="118"/>
      <c r="E786" s="118"/>
      <c r="F786" s="118"/>
      <c r="G786" s="118"/>
      <c r="H786" s="118"/>
      <c r="I786" s="118"/>
      <c r="J786" s="118"/>
      <c r="T786" s="8">
        <f t="shared" ref="T786:T849" si="18">I786/$I$11</f>
        <v>0</v>
      </c>
    </row>
    <row r="787" spans="1:20" hidden="1" outlineLevel="1" x14ac:dyDescent="0.25">
      <c r="A787" s="286"/>
      <c r="B787" s="118"/>
      <c r="C787" s="118"/>
      <c r="D787" s="118"/>
      <c r="E787" s="118"/>
      <c r="F787" s="118"/>
      <c r="G787" s="118"/>
      <c r="H787" s="118"/>
      <c r="I787" s="118"/>
      <c r="J787" s="118"/>
      <c r="T787" s="8">
        <f t="shared" si="18"/>
        <v>0</v>
      </c>
    </row>
    <row r="788" spans="1:20" hidden="1" outlineLevel="1" x14ac:dyDescent="0.25">
      <c r="A788" s="286"/>
      <c r="B788" s="118"/>
      <c r="C788" s="118"/>
      <c r="D788" s="118"/>
      <c r="E788" s="118"/>
      <c r="F788" s="118"/>
      <c r="G788" s="118"/>
      <c r="H788" s="118"/>
      <c r="I788" s="118"/>
      <c r="J788" s="118"/>
      <c r="T788" s="8">
        <f t="shared" si="18"/>
        <v>0</v>
      </c>
    </row>
    <row r="789" spans="1:20" hidden="1" outlineLevel="1" x14ac:dyDescent="0.25">
      <c r="A789" s="286"/>
      <c r="B789" s="118"/>
      <c r="C789" s="118"/>
      <c r="D789" s="118"/>
      <c r="E789" s="118"/>
      <c r="F789" s="118"/>
      <c r="G789" s="118"/>
      <c r="H789" s="118"/>
      <c r="I789" s="118"/>
      <c r="J789" s="118"/>
      <c r="T789" s="8">
        <f t="shared" si="18"/>
        <v>0</v>
      </c>
    </row>
    <row r="790" spans="1:20" hidden="1" outlineLevel="1" x14ac:dyDescent="0.25">
      <c r="A790" s="286"/>
      <c r="B790" s="118"/>
      <c r="C790" s="118"/>
      <c r="D790" s="118"/>
      <c r="E790" s="118"/>
      <c r="F790" s="118"/>
      <c r="G790" s="118"/>
      <c r="H790" s="118"/>
      <c r="I790" s="118"/>
      <c r="J790" s="118"/>
      <c r="T790" s="8">
        <f t="shared" si="18"/>
        <v>0</v>
      </c>
    </row>
    <row r="791" spans="1:20" ht="15.75" hidden="1" outlineLevel="1" x14ac:dyDescent="0.25">
      <c r="A791" s="334" t="s">
        <v>648</v>
      </c>
      <c r="B791" s="118"/>
      <c r="C791" s="118"/>
      <c r="D791" s="118"/>
      <c r="E791" s="118"/>
      <c r="F791" s="118"/>
      <c r="G791" s="118"/>
      <c r="H791" s="118"/>
      <c r="I791" s="118"/>
      <c r="J791" s="135"/>
      <c r="T791" s="8">
        <f t="shared" si="18"/>
        <v>0</v>
      </c>
    </row>
    <row r="792" spans="1:20" ht="35.25" hidden="1" outlineLevel="1" x14ac:dyDescent="0.25">
      <c r="A792" s="103" t="s">
        <v>777</v>
      </c>
      <c r="B792" s="119"/>
      <c r="C792" s="126"/>
      <c r="D792" s="121"/>
      <c r="E792" s="121"/>
      <c r="F792" s="122"/>
      <c r="G792" s="123"/>
      <c r="H792" s="343"/>
      <c r="I792" s="124"/>
      <c r="J792" s="223"/>
      <c r="T792" s="8">
        <f t="shared" si="18"/>
        <v>0</v>
      </c>
    </row>
    <row r="793" spans="1:20" ht="18" hidden="1" outlineLevel="1" x14ac:dyDescent="0.25">
      <c r="A793" s="339" t="s">
        <v>643</v>
      </c>
      <c r="B793" s="340"/>
      <c r="C793" s="337"/>
      <c r="D793" s="338"/>
      <c r="E793" s="121"/>
      <c r="F793" s="122"/>
      <c r="G793" s="123"/>
      <c r="H793" s="343"/>
      <c r="I793" s="124"/>
      <c r="J793" s="223"/>
      <c r="T793" s="8">
        <f t="shared" si="18"/>
        <v>0</v>
      </c>
    </row>
    <row r="794" spans="1:20" hidden="1" outlineLevel="1" x14ac:dyDescent="0.25">
      <c r="A794" s="129"/>
      <c r="B794" s="129"/>
      <c r="C794" s="130"/>
      <c r="D794" s="131"/>
      <c r="E794" s="131"/>
      <c r="F794" s="131"/>
      <c r="G794" s="132"/>
      <c r="H794" s="348"/>
      <c r="I794" s="133"/>
      <c r="J794" s="134"/>
      <c r="T794" s="8">
        <f t="shared" si="18"/>
        <v>0</v>
      </c>
    </row>
    <row r="795" spans="1:20" hidden="1" outlineLevel="1" x14ac:dyDescent="0.25">
      <c r="A795" s="128"/>
      <c r="B795" s="128"/>
      <c r="C795" s="137"/>
      <c r="D795" s="138"/>
      <c r="E795" s="138"/>
      <c r="F795" s="138"/>
      <c r="G795" s="139"/>
      <c r="H795" s="362"/>
      <c r="I795" s="140"/>
      <c r="J795" s="141"/>
      <c r="T795" s="8">
        <f t="shared" si="18"/>
        <v>0</v>
      </c>
    </row>
    <row r="796" spans="1:20" hidden="1" outlineLevel="1" x14ac:dyDescent="0.25">
      <c r="A796" s="224"/>
      <c r="B796" s="224"/>
      <c r="C796" s="225"/>
      <c r="D796" s="226"/>
      <c r="E796" s="226"/>
      <c r="F796" s="144"/>
      <c r="G796" s="145" t="s">
        <v>650</v>
      </c>
      <c r="H796" s="345" t="s">
        <v>284</v>
      </c>
      <c r="I796" s="146" t="s">
        <v>651</v>
      </c>
      <c r="J796" s="147" t="s">
        <v>652</v>
      </c>
      <c r="T796" s="8" t="e">
        <f t="shared" si="18"/>
        <v>#VALUE!</v>
      </c>
    </row>
    <row r="797" spans="1:20" hidden="1" outlineLevel="1" x14ac:dyDescent="0.25">
      <c r="A797" s="224"/>
      <c r="B797" s="224"/>
      <c r="C797" s="227"/>
      <c r="D797" s="226"/>
      <c r="E797" s="226"/>
      <c r="F797" s="144"/>
      <c r="G797" s="149" t="s">
        <v>653</v>
      </c>
      <c r="H797" s="345" t="s">
        <v>654</v>
      </c>
      <c r="I797" s="146" t="s">
        <v>655</v>
      </c>
      <c r="J797" s="147" t="s">
        <v>656</v>
      </c>
      <c r="T797" s="8" t="e">
        <f t="shared" si="18"/>
        <v>#VALUE!</v>
      </c>
    </row>
    <row r="798" spans="1:20" hidden="1" outlineLevel="1" x14ac:dyDescent="0.25">
      <c r="A798" s="224"/>
      <c r="B798" s="224"/>
      <c r="C798" s="227"/>
      <c r="D798" s="226"/>
      <c r="E798" s="226"/>
      <c r="F798" s="144"/>
      <c r="G798" s="145" t="s">
        <v>657</v>
      </c>
      <c r="H798" s="345" t="s">
        <v>653</v>
      </c>
      <c r="I798" s="146" t="s">
        <v>658</v>
      </c>
      <c r="J798" s="151" t="s">
        <v>659</v>
      </c>
      <c r="T798" s="8" t="e">
        <f t="shared" si="18"/>
        <v>#VALUE!</v>
      </c>
    </row>
    <row r="799" spans="1:20" hidden="1" outlineLevel="1" x14ac:dyDescent="0.25">
      <c r="A799" s="224"/>
      <c r="B799" s="224"/>
      <c r="C799" s="227"/>
      <c r="D799" s="226"/>
      <c r="E799" s="226"/>
      <c r="F799" s="144"/>
      <c r="G799" s="149" t="s">
        <v>660</v>
      </c>
      <c r="H799" s="345" t="s">
        <v>661</v>
      </c>
      <c r="I799" s="146" t="s">
        <v>662</v>
      </c>
      <c r="J799" s="152" t="s">
        <v>663</v>
      </c>
      <c r="T799" s="8" t="e">
        <f t="shared" si="18"/>
        <v>#VALUE!</v>
      </c>
    </row>
    <row r="800" spans="1:20" hidden="1" outlineLevel="1" x14ac:dyDescent="0.25">
      <c r="A800" s="129"/>
      <c r="B800" s="129"/>
      <c r="C800" s="130"/>
      <c r="D800" s="131"/>
      <c r="E800" s="131"/>
      <c r="F800" s="131"/>
      <c r="G800" s="132"/>
      <c r="H800" s="348"/>
      <c r="I800" s="133"/>
      <c r="J800" s="131"/>
      <c r="T800" s="8">
        <f t="shared" si="18"/>
        <v>0</v>
      </c>
    </row>
    <row r="801" spans="1:20" hidden="1" outlineLevel="1" x14ac:dyDescent="0.25">
      <c r="A801" s="118"/>
      <c r="B801" s="128"/>
      <c r="C801" s="156"/>
      <c r="D801" s="157"/>
      <c r="E801" s="157"/>
      <c r="F801" s="138"/>
      <c r="G801" s="158"/>
      <c r="H801" s="258"/>
      <c r="I801" s="159"/>
      <c r="J801" s="157"/>
      <c r="T801" s="8">
        <f t="shared" si="18"/>
        <v>0</v>
      </c>
    </row>
    <row r="802" spans="1:20" hidden="1" outlineLevel="1" x14ac:dyDescent="0.25">
      <c r="A802" s="174" t="s">
        <v>607</v>
      </c>
      <c r="B802" s="175"/>
      <c r="C802" s="176"/>
      <c r="D802" s="164"/>
      <c r="E802" s="164"/>
      <c r="F802" s="177" t="s">
        <v>536</v>
      </c>
      <c r="G802" s="178"/>
      <c r="H802" s="350"/>
      <c r="I802" s="179"/>
      <c r="J802" s="164"/>
      <c r="K802" s="471"/>
      <c r="L802" s="438"/>
      <c r="M802" s="502"/>
      <c r="T802" s="8">
        <f t="shared" si="18"/>
        <v>0</v>
      </c>
    </row>
    <row r="803" spans="1:20" hidden="1" outlineLevel="1" x14ac:dyDescent="0.25">
      <c r="A803" s="180"/>
      <c r="B803" s="180"/>
      <c r="C803" s="181"/>
      <c r="D803" s="135"/>
      <c r="E803" s="135"/>
      <c r="F803" s="182"/>
      <c r="G803" s="171"/>
      <c r="H803" s="349"/>
      <c r="I803" s="172"/>
      <c r="J803" s="173"/>
      <c r="K803" s="186"/>
      <c r="L803" s="457"/>
      <c r="M803" s="482"/>
      <c r="T803" s="8">
        <f t="shared" si="18"/>
        <v>0</v>
      </c>
    </row>
    <row r="804" spans="1:20" hidden="1" outlineLevel="1" x14ac:dyDescent="0.25">
      <c r="A804" s="137"/>
      <c r="B804" s="136"/>
      <c r="C804" s="136"/>
      <c r="D804" s="206"/>
      <c r="E804" s="206"/>
      <c r="F804" s="138"/>
      <c r="G804" s="217"/>
      <c r="H804" s="361"/>
      <c r="I804" s="218"/>
      <c r="J804" s="219"/>
      <c r="K804" s="265"/>
      <c r="L804" s="434"/>
      <c r="M804" s="484"/>
      <c r="T804" s="8">
        <f t="shared" si="18"/>
        <v>0</v>
      </c>
    </row>
    <row r="805" spans="1:20" hidden="1" outlineLevel="1" x14ac:dyDescent="0.25">
      <c r="A805" s="234">
        <v>13</v>
      </c>
      <c r="B805" s="234" t="s">
        <v>1540</v>
      </c>
      <c r="C805" s="186"/>
      <c r="D805" s="298"/>
      <c r="E805" s="298"/>
      <c r="F805" s="118"/>
      <c r="G805" s="118"/>
      <c r="H805" s="118"/>
      <c r="I805" s="118"/>
      <c r="J805" s="118"/>
      <c r="K805" s="468"/>
      <c r="L805" s="452"/>
      <c r="M805" s="501"/>
      <c r="T805" s="8">
        <f t="shared" si="18"/>
        <v>0</v>
      </c>
    </row>
    <row r="806" spans="1:20" hidden="1" outlineLevel="1" x14ac:dyDescent="0.25">
      <c r="A806" s="180"/>
      <c r="B806" s="180"/>
      <c r="C806" s="182"/>
      <c r="D806" s="118"/>
      <c r="E806" s="118"/>
      <c r="F806" s="118"/>
      <c r="G806" s="118"/>
      <c r="H806" s="118"/>
      <c r="I806" s="118"/>
      <c r="J806" s="118"/>
      <c r="K806" s="468"/>
      <c r="L806" s="435"/>
      <c r="M806" s="501"/>
      <c r="T806" s="8">
        <f t="shared" si="18"/>
        <v>0</v>
      </c>
    </row>
    <row r="807" spans="1:20" outlineLevel="1" x14ac:dyDescent="0.25">
      <c r="A807" s="286">
        <v>13.4</v>
      </c>
      <c r="B807" s="155" t="s">
        <v>1541</v>
      </c>
      <c r="C807" s="118"/>
      <c r="D807" s="118"/>
      <c r="E807" s="118"/>
      <c r="F807" s="118"/>
      <c r="G807" s="171">
        <v>13</v>
      </c>
      <c r="H807" s="349">
        <v>354</v>
      </c>
      <c r="I807" s="172">
        <v>2320</v>
      </c>
      <c r="J807" s="254">
        <v>6.7</v>
      </c>
      <c r="K807" s="478"/>
      <c r="L807" s="446" t="str">
        <f>B807</f>
        <v>Money transfers and credit</v>
      </c>
      <c r="M807" s="544"/>
      <c r="N807" s="116"/>
      <c r="O807" s="116"/>
      <c r="P807" s="116"/>
      <c r="Q807" s="116" t="s">
        <v>587</v>
      </c>
      <c r="R807" s="116" t="s">
        <v>1338</v>
      </c>
      <c r="T807" s="8">
        <f t="shared" si="18"/>
        <v>0.47154471544715448</v>
      </c>
    </row>
    <row r="808" spans="1:20" hidden="1" outlineLevel="1" x14ac:dyDescent="0.25">
      <c r="A808" s="277"/>
      <c r="B808" s="136" t="s">
        <v>1542</v>
      </c>
      <c r="C808" s="137" t="s">
        <v>1543</v>
      </c>
      <c r="D808" s="138"/>
      <c r="E808" s="138"/>
      <c r="F808" s="138"/>
      <c r="G808" s="171">
        <v>0.1</v>
      </c>
      <c r="H808" s="349">
        <v>2</v>
      </c>
      <c r="I808" s="172">
        <v>60</v>
      </c>
      <c r="J808" s="254">
        <v>23.7</v>
      </c>
      <c r="K808" s="478"/>
      <c r="L808" s="463"/>
      <c r="M808" s="506"/>
      <c r="T808" s="8">
        <f t="shared" si="18"/>
        <v>1.2195121951219513E-2</v>
      </c>
    </row>
    <row r="809" spans="1:20" hidden="1" outlineLevel="1" x14ac:dyDescent="0.25">
      <c r="A809" s="277"/>
      <c r="B809" s="136"/>
      <c r="C809" s="137" t="s">
        <v>1544</v>
      </c>
      <c r="D809" s="138" t="s">
        <v>1545</v>
      </c>
      <c r="E809" s="138"/>
      <c r="F809" s="138"/>
      <c r="G809" s="171">
        <v>0.1</v>
      </c>
      <c r="H809" s="349">
        <v>2</v>
      </c>
      <c r="I809" s="172">
        <v>50</v>
      </c>
      <c r="J809" s="254">
        <v>24.5</v>
      </c>
      <c r="K809" s="478"/>
      <c r="L809" s="463"/>
      <c r="M809" s="506"/>
      <c r="T809" s="8">
        <f t="shared" si="18"/>
        <v>1.016260162601626E-2</v>
      </c>
    </row>
    <row r="810" spans="1:20" hidden="1" outlineLevel="1" x14ac:dyDescent="0.25">
      <c r="A810" s="277"/>
      <c r="B810" s="136"/>
      <c r="C810" s="137" t="s">
        <v>1546</v>
      </c>
      <c r="D810" s="138" t="s">
        <v>1547</v>
      </c>
      <c r="E810" s="138"/>
      <c r="F810" s="138"/>
      <c r="G810" s="383">
        <v>0</v>
      </c>
      <c r="H810" s="375">
        <v>0</v>
      </c>
      <c r="I810" s="258" t="s">
        <v>610</v>
      </c>
      <c r="J810" s="254">
        <v>60.6</v>
      </c>
      <c r="K810" s="478"/>
      <c r="L810" s="463"/>
      <c r="M810" s="506"/>
      <c r="T810" s="8" t="e">
        <f t="shared" si="18"/>
        <v>#VALUE!</v>
      </c>
    </row>
    <row r="811" spans="1:20" hidden="1" outlineLevel="1" x14ac:dyDescent="0.25">
      <c r="A811" s="277"/>
      <c r="B811" s="136" t="s">
        <v>1548</v>
      </c>
      <c r="C811" s="137" t="s">
        <v>1549</v>
      </c>
      <c r="D811" s="138"/>
      <c r="E811" s="138"/>
      <c r="F811" s="138"/>
      <c r="G811" s="171">
        <v>11.7</v>
      </c>
      <c r="H811" s="349">
        <v>317</v>
      </c>
      <c r="I811" s="172">
        <v>2010</v>
      </c>
      <c r="J811" s="254">
        <v>7.4</v>
      </c>
      <c r="K811" s="478"/>
      <c r="L811" s="463"/>
      <c r="M811" s="506"/>
      <c r="T811" s="8">
        <f t="shared" si="18"/>
        <v>0.40853658536585363</v>
      </c>
    </row>
    <row r="812" spans="1:20" hidden="1" outlineLevel="1" x14ac:dyDescent="0.25">
      <c r="A812" s="277"/>
      <c r="B812" s="136"/>
      <c r="C812" s="137" t="s">
        <v>1550</v>
      </c>
      <c r="D812" s="138" t="s">
        <v>1551</v>
      </c>
      <c r="E812" s="138"/>
      <c r="F812" s="138"/>
      <c r="G812" s="171">
        <v>4.5</v>
      </c>
      <c r="H812" s="349">
        <v>124</v>
      </c>
      <c r="I812" s="172">
        <v>740</v>
      </c>
      <c r="J812" s="254">
        <v>14.6</v>
      </c>
      <c r="K812" s="478"/>
      <c r="L812" s="463"/>
      <c r="M812" s="506"/>
      <c r="T812" s="8">
        <f t="shared" si="18"/>
        <v>0.15040650406504066</v>
      </c>
    </row>
    <row r="813" spans="1:20" hidden="1" outlineLevel="1" x14ac:dyDescent="0.25">
      <c r="A813" s="277"/>
      <c r="B813" s="136"/>
      <c r="C813" s="137" t="s">
        <v>1552</v>
      </c>
      <c r="D813" s="138" t="s">
        <v>1553</v>
      </c>
      <c r="E813" s="138"/>
      <c r="F813" s="138"/>
      <c r="G813" s="171">
        <v>2.9</v>
      </c>
      <c r="H813" s="349">
        <v>80</v>
      </c>
      <c r="I813" s="159">
        <v>1360</v>
      </c>
      <c r="J813" s="254">
        <v>7.2</v>
      </c>
      <c r="K813" s="478"/>
      <c r="L813" s="463"/>
      <c r="M813" s="506"/>
      <c r="T813" s="8">
        <f t="shared" si="18"/>
        <v>0.27642276422764228</v>
      </c>
    </row>
    <row r="814" spans="1:20" hidden="1" outlineLevel="1" x14ac:dyDescent="0.25">
      <c r="A814" s="277"/>
      <c r="B814" s="136"/>
      <c r="C814" s="137" t="s">
        <v>1554</v>
      </c>
      <c r="D814" s="138" t="s">
        <v>1555</v>
      </c>
      <c r="E814" s="138"/>
      <c r="F814" s="138"/>
      <c r="G814" s="171">
        <v>2.1</v>
      </c>
      <c r="H814" s="349">
        <v>58</v>
      </c>
      <c r="I814" s="172">
        <v>210</v>
      </c>
      <c r="J814" s="254">
        <v>18.3</v>
      </c>
      <c r="K814" s="478"/>
      <c r="L814" s="463"/>
      <c r="M814" s="506"/>
      <c r="T814" s="8">
        <f t="shared" si="18"/>
        <v>4.2682926829268296E-2</v>
      </c>
    </row>
    <row r="815" spans="1:20" hidden="1" outlineLevel="1" x14ac:dyDescent="0.25">
      <c r="A815" s="277"/>
      <c r="B815" s="136"/>
      <c r="C815" s="137" t="s">
        <v>1556</v>
      </c>
      <c r="D815" s="138" t="s">
        <v>1557</v>
      </c>
      <c r="E815" s="138"/>
      <c r="F815" s="138"/>
      <c r="G815" s="171">
        <v>2</v>
      </c>
      <c r="H815" s="349">
        <v>55</v>
      </c>
      <c r="I815" s="172">
        <v>160</v>
      </c>
      <c r="J815" s="254">
        <v>11.2</v>
      </c>
      <c r="K815" s="478"/>
      <c r="L815" s="463"/>
      <c r="M815" s="506"/>
      <c r="T815" s="8">
        <f t="shared" si="18"/>
        <v>3.2520325203252036E-2</v>
      </c>
    </row>
    <row r="816" spans="1:20" hidden="1" outlineLevel="1" x14ac:dyDescent="0.25">
      <c r="A816" s="277"/>
      <c r="B816" s="136" t="s">
        <v>1558</v>
      </c>
      <c r="C816" s="137" t="s">
        <v>1559</v>
      </c>
      <c r="D816" s="138"/>
      <c r="E816" s="138"/>
      <c r="F816" s="138"/>
      <c r="G816" s="171">
        <v>1.3</v>
      </c>
      <c r="H816" s="349">
        <v>35</v>
      </c>
      <c r="I816" s="172">
        <v>530</v>
      </c>
      <c r="J816" s="254">
        <v>13.1</v>
      </c>
      <c r="K816" s="478"/>
      <c r="L816" s="463"/>
      <c r="M816" s="506"/>
      <c r="T816" s="8">
        <f t="shared" si="18"/>
        <v>0.10772357723577236</v>
      </c>
    </row>
    <row r="817" spans="1:20" hidden="1" outlineLevel="1" x14ac:dyDescent="0.25">
      <c r="A817" s="277"/>
      <c r="B817" s="136"/>
      <c r="C817" s="137" t="s">
        <v>1560</v>
      </c>
      <c r="D817" s="138" t="s">
        <v>1561</v>
      </c>
      <c r="E817" s="138"/>
      <c r="F817" s="138"/>
      <c r="G817" s="377" t="s">
        <v>645</v>
      </c>
      <c r="H817" s="377" t="s">
        <v>645</v>
      </c>
      <c r="I817" s="377" t="s">
        <v>645</v>
      </c>
      <c r="J817" s="377" t="s">
        <v>645</v>
      </c>
      <c r="K817" s="478"/>
      <c r="L817" s="463"/>
      <c r="M817" s="506"/>
      <c r="T817" s="8" t="e">
        <f t="shared" si="18"/>
        <v>#VALUE!</v>
      </c>
    </row>
    <row r="818" spans="1:20" hidden="1" outlineLevel="1" x14ac:dyDescent="0.25">
      <c r="A818" s="277"/>
      <c r="B818" s="136"/>
      <c r="C818" s="137" t="s">
        <v>1562</v>
      </c>
      <c r="D818" s="138" t="s">
        <v>1563</v>
      </c>
      <c r="E818" s="138"/>
      <c r="F818" s="138"/>
      <c r="G818" s="171">
        <v>1.3</v>
      </c>
      <c r="H818" s="349">
        <v>35</v>
      </c>
      <c r="I818" s="172">
        <v>530</v>
      </c>
      <c r="J818" s="254">
        <v>13.1</v>
      </c>
      <c r="K818" s="478"/>
      <c r="L818" s="463"/>
      <c r="M818" s="506"/>
      <c r="T818" s="8">
        <f t="shared" si="18"/>
        <v>0.10772357723577236</v>
      </c>
    </row>
    <row r="819" spans="1:20" hidden="1" outlineLevel="1" x14ac:dyDescent="0.25">
      <c r="A819" s="297"/>
      <c r="B819" s="129"/>
      <c r="C819" s="130"/>
      <c r="D819" s="131"/>
      <c r="E819" s="131"/>
      <c r="F819" s="131"/>
      <c r="G819" s="132"/>
      <c r="H819" s="348"/>
      <c r="I819" s="133"/>
      <c r="J819" s="134"/>
      <c r="K819" s="478"/>
      <c r="L819" s="463"/>
      <c r="M819" s="506"/>
      <c r="T819" s="8">
        <f t="shared" si="18"/>
        <v>0</v>
      </c>
    </row>
    <row r="820" spans="1:20" hidden="1" x14ac:dyDescent="0.25">
      <c r="A820" s="118"/>
      <c r="B820" s="118"/>
      <c r="C820" s="118"/>
      <c r="D820" s="118"/>
      <c r="E820" s="118"/>
      <c r="F820" s="118"/>
      <c r="G820" s="118"/>
      <c r="H820" s="118"/>
      <c r="I820" s="118"/>
      <c r="J820" s="118"/>
      <c r="K820" s="478"/>
      <c r="L820" s="463"/>
      <c r="M820" s="506"/>
      <c r="T820" s="8">
        <f t="shared" si="18"/>
        <v>0</v>
      </c>
    </row>
    <row r="821" spans="1:20" hidden="1" x14ac:dyDescent="0.25">
      <c r="A821" s="234" t="s">
        <v>526</v>
      </c>
      <c r="B821" s="186"/>
      <c r="C821" s="186"/>
      <c r="D821" s="267"/>
      <c r="E821" s="267"/>
      <c r="F821" s="267"/>
      <c r="G821" s="268">
        <v>528.9</v>
      </c>
      <c r="H821" s="363">
        <v>14398</v>
      </c>
      <c r="I821" s="269">
        <v>4920</v>
      </c>
      <c r="J821" s="330">
        <v>1.3</v>
      </c>
      <c r="K821" s="478"/>
      <c r="L821" s="463"/>
      <c r="M821" s="506"/>
      <c r="T821" s="8">
        <f t="shared" si="18"/>
        <v>1</v>
      </c>
    </row>
    <row r="822" spans="1:20" hidden="1" x14ac:dyDescent="0.25">
      <c r="A822" s="129"/>
      <c r="B822" s="129"/>
      <c r="C822" s="130"/>
      <c r="D822" s="131"/>
      <c r="E822" s="131"/>
      <c r="F822" s="131"/>
      <c r="G822" s="132"/>
      <c r="H822" s="381"/>
      <c r="I822" s="133"/>
      <c r="J822" s="134"/>
      <c r="K822" s="478"/>
      <c r="L822" s="463"/>
      <c r="M822" s="506"/>
      <c r="T822" s="8">
        <f t="shared" si="18"/>
        <v>0</v>
      </c>
    </row>
    <row r="823" spans="1:20" hidden="1" x14ac:dyDescent="0.25">
      <c r="A823" s="118"/>
      <c r="B823" s="118"/>
      <c r="C823" s="118"/>
      <c r="D823" s="118"/>
      <c r="E823" s="118"/>
      <c r="F823" s="118"/>
      <c r="G823" s="118"/>
      <c r="H823" s="382"/>
      <c r="I823" s="118"/>
      <c r="J823" s="118"/>
      <c r="K823" s="478"/>
      <c r="L823" s="463"/>
      <c r="M823" s="506"/>
      <c r="T823" s="8">
        <f t="shared" si="18"/>
        <v>0</v>
      </c>
    </row>
    <row r="824" spans="1:20" x14ac:dyDescent="0.25">
      <c r="A824" s="234">
        <v>14</v>
      </c>
      <c r="B824" s="234" t="s">
        <v>586</v>
      </c>
      <c r="C824" s="186"/>
      <c r="D824" s="267"/>
      <c r="E824" s="267"/>
      <c r="F824" s="299"/>
      <c r="G824" s="171"/>
      <c r="H824" s="382"/>
      <c r="I824" s="172"/>
      <c r="J824" s="271"/>
      <c r="K824" s="478"/>
      <c r="L824" s="447" t="str">
        <f>B824</f>
        <v>Other items recorded</v>
      </c>
      <c r="M824" s="547">
        <f>G826+G831+G833+G843+G847+G857+G862+G863</f>
        <v>213.4</v>
      </c>
      <c r="N824" s="548">
        <f>M824</f>
        <v>213.4</v>
      </c>
      <c r="O824" s="392">
        <f t="shared" ref="O824" si="19">M824/N824</f>
        <v>1</v>
      </c>
      <c r="P824" s="392">
        <v>0</v>
      </c>
      <c r="Q824" s="549" t="s">
        <v>587</v>
      </c>
      <c r="R824" s="116" t="s">
        <v>1564</v>
      </c>
      <c r="T824" s="8">
        <f t="shared" si="18"/>
        <v>0</v>
      </c>
    </row>
    <row r="825" spans="1:20" hidden="1" outlineLevel="1" x14ac:dyDescent="0.25">
      <c r="A825" s="118"/>
      <c r="B825" s="118"/>
      <c r="C825" s="118"/>
      <c r="D825" s="118"/>
      <c r="E825" s="118"/>
      <c r="F825" s="118"/>
      <c r="G825" s="118"/>
      <c r="H825" s="382"/>
      <c r="I825" s="118"/>
      <c r="J825" s="118"/>
      <c r="K825" s="478"/>
      <c r="L825" s="463"/>
      <c r="M825" s="506"/>
      <c r="T825" s="8">
        <f t="shared" si="18"/>
        <v>0</v>
      </c>
    </row>
    <row r="826" spans="1:20" outlineLevel="1" x14ac:dyDescent="0.25">
      <c r="A826" s="286">
        <v>14.1</v>
      </c>
      <c r="B826" s="155" t="s">
        <v>1565</v>
      </c>
      <c r="C826" s="118"/>
      <c r="D826" s="118"/>
      <c r="E826" s="118"/>
      <c r="F826" s="118"/>
      <c r="G826" s="171">
        <v>22.5</v>
      </c>
      <c r="H826" s="349">
        <v>614</v>
      </c>
      <c r="I826" s="172">
        <v>2490</v>
      </c>
      <c r="J826" s="254">
        <v>3.8</v>
      </c>
      <c r="K826" s="478"/>
      <c r="L826" s="446" t="str">
        <f>B826</f>
        <v>Life assurance, contributions to pension funds</v>
      </c>
      <c r="M826" s="544"/>
      <c r="N826" s="116"/>
      <c r="O826" s="116"/>
      <c r="P826" s="116"/>
      <c r="Q826" s="116" t="s">
        <v>587</v>
      </c>
      <c r="R826" s="116" t="s">
        <v>1566</v>
      </c>
      <c r="T826" s="8">
        <f t="shared" si="18"/>
        <v>0.50609756097560976</v>
      </c>
    </row>
    <row r="827" spans="1:20" hidden="1" outlineLevel="1" x14ac:dyDescent="0.25">
      <c r="A827" s="137"/>
      <c r="B827" s="136" t="s">
        <v>1567</v>
      </c>
      <c r="C827" s="137" t="s">
        <v>1568</v>
      </c>
      <c r="D827" s="138"/>
      <c r="E827" s="138"/>
      <c r="F827" s="138"/>
      <c r="G827" s="171">
        <v>3.3</v>
      </c>
      <c r="H827" s="349">
        <v>89</v>
      </c>
      <c r="I827" s="172">
        <v>1210</v>
      </c>
      <c r="J827" s="254">
        <v>12.6</v>
      </c>
      <c r="K827" s="478"/>
      <c r="L827" s="463"/>
      <c r="M827" s="506"/>
      <c r="T827" s="8">
        <f t="shared" si="18"/>
        <v>0.2459349593495935</v>
      </c>
    </row>
    <row r="828" spans="1:20" hidden="1" outlineLevel="1" x14ac:dyDescent="0.25">
      <c r="A828" s="277"/>
      <c r="B828" s="136" t="s">
        <v>1569</v>
      </c>
      <c r="C828" s="137" t="s">
        <v>1570</v>
      </c>
      <c r="D828" s="138"/>
      <c r="E828" s="138"/>
      <c r="F828" s="138"/>
      <c r="G828" s="171">
        <v>15</v>
      </c>
      <c r="H828" s="349">
        <v>410</v>
      </c>
      <c r="I828" s="172">
        <v>1740</v>
      </c>
      <c r="J828" s="254">
        <v>3.6</v>
      </c>
      <c r="K828" s="478"/>
      <c r="L828" s="463"/>
      <c r="M828" s="506"/>
      <c r="T828" s="8">
        <f t="shared" si="18"/>
        <v>0.35365853658536583</v>
      </c>
    </row>
    <row r="829" spans="1:20" hidden="1" outlineLevel="1" x14ac:dyDescent="0.25">
      <c r="A829" s="277"/>
      <c r="B829" s="136" t="s">
        <v>1571</v>
      </c>
      <c r="C829" s="137" t="s">
        <v>1572</v>
      </c>
      <c r="D829" s="138"/>
      <c r="E829" s="138"/>
      <c r="F829" s="138"/>
      <c r="G829" s="171">
        <v>4.2</v>
      </c>
      <c r="H829" s="349">
        <v>115</v>
      </c>
      <c r="I829" s="172">
        <v>410</v>
      </c>
      <c r="J829" s="254">
        <v>9.8000000000000007</v>
      </c>
      <c r="K829" s="478"/>
      <c r="L829" s="463"/>
      <c r="M829" s="506"/>
      <c r="T829" s="8">
        <f t="shared" si="18"/>
        <v>8.3333333333333329E-2</v>
      </c>
    </row>
    <row r="830" spans="1:20" hidden="1" outlineLevel="1" x14ac:dyDescent="0.25">
      <c r="A830" s="286"/>
      <c r="B830" s="118"/>
      <c r="C830" s="118"/>
      <c r="D830" s="118"/>
      <c r="E830" s="118"/>
      <c r="F830" s="118"/>
      <c r="G830" s="118"/>
      <c r="H830" s="118"/>
      <c r="I830" s="118"/>
      <c r="J830" s="118"/>
      <c r="K830" s="478"/>
      <c r="L830" s="463"/>
      <c r="M830" s="506"/>
      <c r="T830" s="8">
        <f t="shared" si="18"/>
        <v>0</v>
      </c>
    </row>
    <row r="831" spans="1:20" outlineLevel="1" x14ac:dyDescent="0.25">
      <c r="A831" s="286">
        <v>14.2</v>
      </c>
      <c r="B831" s="155" t="s">
        <v>1573</v>
      </c>
      <c r="C831" s="118"/>
      <c r="D831" s="118"/>
      <c r="E831" s="118"/>
      <c r="F831" s="118"/>
      <c r="G831" s="171">
        <v>1.6</v>
      </c>
      <c r="H831" s="349">
        <v>44</v>
      </c>
      <c r="I831" s="172">
        <v>1160</v>
      </c>
      <c r="J831" s="254">
        <v>4.0999999999999996</v>
      </c>
      <c r="K831" s="478"/>
      <c r="L831" s="446" t="str">
        <f>B831</f>
        <v>Other insurance including friendly societies</v>
      </c>
      <c r="M831" s="544"/>
      <c r="N831" s="116"/>
      <c r="O831" s="116"/>
      <c r="P831" s="116"/>
      <c r="Q831" s="116" t="s">
        <v>587</v>
      </c>
      <c r="R831" s="116" t="s">
        <v>1338</v>
      </c>
      <c r="T831" s="8">
        <f t="shared" si="18"/>
        <v>0.23577235772357724</v>
      </c>
    </row>
    <row r="832" spans="1:20" hidden="1" outlineLevel="1" x14ac:dyDescent="0.25">
      <c r="A832" s="286"/>
      <c r="B832" s="118"/>
      <c r="C832" s="118"/>
      <c r="D832" s="118"/>
      <c r="E832" s="118"/>
      <c r="F832" s="118"/>
      <c r="G832" s="118"/>
      <c r="H832" s="118"/>
      <c r="I832" s="118"/>
      <c r="J832" s="118"/>
      <c r="K832" s="478"/>
      <c r="L832" s="463"/>
      <c r="M832" s="506"/>
      <c r="T832" s="8">
        <f t="shared" si="18"/>
        <v>0</v>
      </c>
    </row>
    <row r="833" spans="1:20" outlineLevel="1" x14ac:dyDescent="0.25">
      <c r="A833" s="286">
        <v>14.3</v>
      </c>
      <c r="B833" s="155" t="s">
        <v>1574</v>
      </c>
      <c r="C833" s="118"/>
      <c r="D833" s="118"/>
      <c r="E833" s="118"/>
      <c r="F833" s="118"/>
      <c r="G833" s="171">
        <v>89.6</v>
      </c>
      <c r="H833" s="349">
        <v>2439</v>
      </c>
      <c r="I833" s="172">
        <v>3830</v>
      </c>
      <c r="J833" s="254">
        <v>2.9</v>
      </c>
      <c r="K833" s="478"/>
      <c r="L833" s="446" t="str">
        <f>B833</f>
        <v>Income tax, payments less refunds</v>
      </c>
      <c r="M833" s="544"/>
      <c r="N833" s="116"/>
      <c r="O833" s="116"/>
      <c r="P833" s="116"/>
      <c r="Q833" s="116" t="s">
        <v>587</v>
      </c>
      <c r="R833" s="116" t="s">
        <v>1575</v>
      </c>
      <c r="T833" s="8">
        <f t="shared" si="18"/>
        <v>0.77845528455284552</v>
      </c>
    </row>
    <row r="834" spans="1:20" hidden="1" outlineLevel="1" x14ac:dyDescent="0.25">
      <c r="A834" s="277"/>
      <c r="B834" s="136" t="s">
        <v>1576</v>
      </c>
      <c r="C834" s="137" t="s">
        <v>1577</v>
      </c>
      <c r="D834" s="138"/>
      <c r="E834" s="138"/>
      <c r="F834" s="138"/>
      <c r="G834" s="171">
        <v>66.7</v>
      </c>
      <c r="H834" s="349">
        <v>1816</v>
      </c>
      <c r="I834" s="172">
        <v>2400</v>
      </c>
      <c r="J834" s="254">
        <v>3.1</v>
      </c>
      <c r="K834" s="478"/>
      <c r="L834" s="463"/>
      <c r="M834" s="506"/>
      <c r="T834" s="8">
        <f t="shared" si="18"/>
        <v>0.48780487804878048</v>
      </c>
    </row>
    <row r="835" spans="1:20" hidden="1" outlineLevel="1" x14ac:dyDescent="0.25">
      <c r="A835" s="277"/>
      <c r="B835" s="136" t="s">
        <v>1578</v>
      </c>
      <c r="C835" s="137" t="s">
        <v>1579</v>
      </c>
      <c r="D835" s="138"/>
      <c r="E835" s="138"/>
      <c r="F835" s="138"/>
      <c r="G835" s="171">
        <v>2.7</v>
      </c>
      <c r="H835" s="349">
        <v>72</v>
      </c>
      <c r="I835" s="172">
        <v>170</v>
      </c>
      <c r="J835" s="254">
        <v>21.2</v>
      </c>
      <c r="K835" s="478"/>
      <c r="L835" s="463"/>
      <c r="M835" s="506"/>
      <c r="T835" s="8">
        <f t="shared" si="18"/>
        <v>3.4552845528455285E-2</v>
      </c>
    </row>
    <row r="836" spans="1:20" hidden="1" outlineLevel="1" x14ac:dyDescent="0.25">
      <c r="A836" s="277"/>
      <c r="B836" s="136" t="s">
        <v>1580</v>
      </c>
      <c r="C836" s="137" t="s">
        <v>1581</v>
      </c>
      <c r="D836" s="138"/>
      <c r="E836" s="138"/>
      <c r="F836" s="138"/>
      <c r="G836" s="171">
        <v>3.8</v>
      </c>
      <c r="H836" s="349">
        <v>104</v>
      </c>
      <c r="I836" s="172">
        <v>200</v>
      </c>
      <c r="J836" s="254">
        <v>14.4</v>
      </c>
      <c r="K836" s="478"/>
      <c r="L836" s="463"/>
      <c r="M836" s="506"/>
      <c r="T836" s="8">
        <f t="shared" si="18"/>
        <v>4.065040650406504E-2</v>
      </c>
    </row>
    <row r="837" spans="1:20" hidden="1" outlineLevel="1" x14ac:dyDescent="0.25">
      <c r="A837" s="277"/>
      <c r="B837" s="136" t="s">
        <v>1582</v>
      </c>
      <c r="C837" s="137" t="s">
        <v>1583</v>
      </c>
      <c r="D837" s="138"/>
      <c r="E837" s="138"/>
      <c r="F837" s="138"/>
      <c r="G837" s="171"/>
      <c r="H837" s="349"/>
      <c r="I837" s="135"/>
      <c r="J837" s="271"/>
      <c r="K837" s="478"/>
      <c r="L837" s="463"/>
      <c r="M837" s="506"/>
      <c r="T837" s="8">
        <f t="shared" si="18"/>
        <v>0</v>
      </c>
    </row>
    <row r="838" spans="1:20" hidden="1" outlineLevel="1" x14ac:dyDescent="0.25">
      <c r="A838" s="277"/>
      <c r="B838" s="136"/>
      <c r="C838" s="137" t="s">
        <v>1584</v>
      </c>
      <c r="D838" s="138"/>
      <c r="E838" s="138"/>
      <c r="F838" s="138"/>
      <c r="G838" s="171">
        <v>13.2</v>
      </c>
      <c r="H838" s="349">
        <v>358</v>
      </c>
      <c r="I838" s="172">
        <v>2210</v>
      </c>
      <c r="J838" s="254">
        <v>4.4000000000000004</v>
      </c>
      <c r="K838" s="479"/>
      <c r="L838" s="464"/>
      <c r="M838" s="506"/>
      <c r="T838" s="8">
        <f t="shared" si="18"/>
        <v>0.44918699186991867</v>
      </c>
    </row>
    <row r="839" spans="1:20" hidden="1" outlineLevel="1" x14ac:dyDescent="0.25">
      <c r="A839" s="277"/>
      <c r="B839" s="136" t="s">
        <v>1585</v>
      </c>
      <c r="C839" s="137" t="s">
        <v>1586</v>
      </c>
      <c r="D839" s="138"/>
      <c r="E839" s="138"/>
      <c r="F839" s="138"/>
      <c r="G839" s="171">
        <v>4.3</v>
      </c>
      <c r="H839" s="349">
        <v>117</v>
      </c>
      <c r="I839" s="172">
        <v>760</v>
      </c>
      <c r="J839" s="254">
        <v>12.1</v>
      </c>
      <c r="K839" s="479"/>
      <c r="L839" s="464"/>
      <c r="M839" s="506"/>
      <c r="T839" s="8">
        <f t="shared" si="18"/>
        <v>0.15447154471544716</v>
      </c>
    </row>
    <row r="840" spans="1:20" hidden="1" outlineLevel="1" x14ac:dyDescent="0.25">
      <c r="A840" s="277"/>
      <c r="B840" s="136" t="s">
        <v>1587</v>
      </c>
      <c r="C840" s="137" t="s">
        <v>1588</v>
      </c>
      <c r="D840" s="138"/>
      <c r="E840" s="138"/>
      <c r="F840" s="138"/>
      <c r="G840" s="171">
        <v>0.2</v>
      </c>
      <c r="H840" s="258">
        <v>5</v>
      </c>
      <c r="I840" s="172">
        <v>30</v>
      </c>
      <c r="J840" s="254">
        <v>51.1</v>
      </c>
      <c r="K840" s="479"/>
      <c r="L840" s="464"/>
      <c r="M840" s="506"/>
      <c r="T840" s="8">
        <f t="shared" si="18"/>
        <v>6.0975609756097563E-3</v>
      </c>
    </row>
    <row r="841" spans="1:20" hidden="1" outlineLevel="1" x14ac:dyDescent="0.25">
      <c r="A841" s="277"/>
      <c r="B841" s="136" t="s">
        <v>1589</v>
      </c>
      <c r="C841" s="137" t="s">
        <v>1590</v>
      </c>
      <c r="D841" s="138"/>
      <c r="E841" s="138"/>
      <c r="F841" s="138"/>
      <c r="G841" s="171">
        <v>0.8</v>
      </c>
      <c r="H841" s="349">
        <v>23</v>
      </c>
      <c r="I841" s="172">
        <v>280</v>
      </c>
      <c r="J841" s="254">
        <v>13</v>
      </c>
      <c r="K841" s="479"/>
      <c r="L841" s="464"/>
      <c r="M841" s="506"/>
      <c r="T841" s="8">
        <f t="shared" si="18"/>
        <v>5.6910569105691054E-2</v>
      </c>
    </row>
    <row r="842" spans="1:20" hidden="1" outlineLevel="1" x14ac:dyDescent="0.25">
      <c r="A842" s="286"/>
      <c r="B842" s="118"/>
      <c r="C842" s="118"/>
      <c r="D842" s="118"/>
      <c r="E842" s="118"/>
      <c r="F842" s="118"/>
      <c r="G842" s="118"/>
      <c r="H842" s="118"/>
      <c r="I842" s="118"/>
      <c r="J842" s="118"/>
      <c r="K842" s="478"/>
      <c r="L842" s="463"/>
      <c r="M842" s="506"/>
      <c r="T842" s="8">
        <f t="shared" si="18"/>
        <v>0</v>
      </c>
    </row>
    <row r="843" spans="1:20" outlineLevel="1" x14ac:dyDescent="0.25">
      <c r="A843" s="286">
        <v>14.4</v>
      </c>
      <c r="B843" s="155" t="s">
        <v>1591</v>
      </c>
      <c r="C843" s="118"/>
      <c r="D843" s="118"/>
      <c r="E843" s="118"/>
      <c r="F843" s="118"/>
      <c r="G843" s="171">
        <v>29</v>
      </c>
      <c r="H843" s="349">
        <v>789</v>
      </c>
      <c r="I843" s="172">
        <v>2470</v>
      </c>
      <c r="J843" s="254">
        <v>2</v>
      </c>
      <c r="K843" s="478"/>
      <c r="L843" s="446" t="str">
        <f>B843</f>
        <v>National insurance contribution</v>
      </c>
      <c r="M843" s="544"/>
      <c r="N843" s="116"/>
      <c r="O843" s="116"/>
      <c r="P843" s="116"/>
      <c r="Q843" s="116" t="s">
        <v>587</v>
      </c>
      <c r="R843" s="116" t="s">
        <v>1575</v>
      </c>
      <c r="T843" s="8">
        <f t="shared" si="18"/>
        <v>0.50203252032520329</v>
      </c>
    </row>
    <row r="844" spans="1:20" hidden="1" outlineLevel="1" x14ac:dyDescent="0.25">
      <c r="A844" s="277"/>
      <c r="B844" s="136" t="s">
        <v>1592</v>
      </c>
      <c r="C844" s="137" t="s">
        <v>1593</v>
      </c>
      <c r="D844" s="138"/>
      <c r="E844" s="138"/>
      <c r="F844" s="138"/>
      <c r="G844" s="171">
        <v>28.8</v>
      </c>
      <c r="H844" s="349">
        <v>785</v>
      </c>
      <c r="I844" s="172">
        <v>2450</v>
      </c>
      <c r="J844" s="254">
        <v>2</v>
      </c>
      <c r="K844" s="478"/>
      <c r="L844" s="463"/>
      <c r="M844" s="506"/>
      <c r="T844" s="8">
        <f t="shared" si="18"/>
        <v>0.49796747967479676</v>
      </c>
    </row>
    <row r="845" spans="1:20" hidden="1" outlineLevel="1" x14ac:dyDescent="0.25">
      <c r="A845" s="277"/>
      <c r="B845" s="136" t="s">
        <v>1594</v>
      </c>
      <c r="C845" s="137" t="s">
        <v>1595</v>
      </c>
      <c r="D845" s="138"/>
      <c r="E845" s="138"/>
      <c r="F845" s="138"/>
      <c r="G845" s="171">
        <v>0.1</v>
      </c>
      <c r="H845" s="349">
        <v>4</v>
      </c>
      <c r="I845" s="172">
        <v>40</v>
      </c>
      <c r="J845" s="254">
        <v>32.5</v>
      </c>
      <c r="K845" s="478"/>
      <c r="L845" s="463"/>
      <c r="M845" s="506"/>
      <c r="T845" s="8">
        <f t="shared" si="18"/>
        <v>8.130081300813009E-3</v>
      </c>
    </row>
    <row r="846" spans="1:20" hidden="1" outlineLevel="1" x14ac:dyDescent="0.25">
      <c r="A846" s="286"/>
      <c r="B846" s="118"/>
      <c r="C846" s="118"/>
      <c r="D846" s="118"/>
      <c r="E846" s="118"/>
      <c r="F846" s="118"/>
      <c r="G846" s="118"/>
      <c r="H846" s="118"/>
      <c r="I846" s="118"/>
      <c r="J846" s="118"/>
      <c r="K846" s="478"/>
      <c r="L846" s="463"/>
      <c r="M846" s="506"/>
      <c r="T846" s="8">
        <f t="shared" si="18"/>
        <v>0</v>
      </c>
    </row>
    <row r="847" spans="1:20" ht="26.25" outlineLevel="1" x14ac:dyDescent="0.25">
      <c r="A847" s="286">
        <v>14.5</v>
      </c>
      <c r="B847" s="155" t="s">
        <v>1596</v>
      </c>
      <c r="C847" s="118"/>
      <c r="D847" s="118"/>
      <c r="E847" s="118"/>
      <c r="F847" s="118"/>
      <c r="G847" s="171">
        <v>61.1</v>
      </c>
      <c r="H847" s="349">
        <v>1664</v>
      </c>
      <c r="I847" s="172">
        <v>1930</v>
      </c>
      <c r="J847" s="254">
        <v>6.3</v>
      </c>
      <c r="K847" s="478"/>
      <c r="L847" s="446" t="str">
        <f>B847</f>
        <v>Purchase or alteration of dwellings (contracted out), mortgages</v>
      </c>
      <c r="M847" s="544"/>
      <c r="N847" s="116"/>
      <c r="O847" s="116"/>
      <c r="P847" s="116"/>
      <c r="Q847" s="116" t="s">
        <v>587</v>
      </c>
      <c r="R847" s="116" t="s">
        <v>1597</v>
      </c>
      <c r="T847" s="8">
        <f t="shared" si="18"/>
        <v>0.39227642276422764</v>
      </c>
    </row>
    <row r="848" spans="1:20" hidden="1" outlineLevel="1" x14ac:dyDescent="0.25">
      <c r="A848" s="277"/>
      <c r="B848" s="136" t="s">
        <v>1598</v>
      </c>
      <c r="C848" s="137" t="s">
        <v>1599</v>
      </c>
      <c r="D848" s="138"/>
      <c r="E848" s="138"/>
      <c r="F848" s="138"/>
      <c r="G848" s="383">
        <v>4.8</v>
      </c>
      <c r="H848" s="375">
        <v>131</v>
      </c>
      <c r="I848" s="159">
        <v>20</v>
      </c>
      <c r="J848" s="254">
        <v>41.2</v>
      </c>
      <c r="K848" s="478"/>
      <c r="L848" s="463"/>
      <c r="M848" s="506"/>
      <c r="T848" s="8">
        <f t="shared" si="18"/>
        <v>4.0650406504065045E-3</v>
      </c>
    </row>
    <row r="849" spans="1:20" hidden="1" outlineLevel="1" x14ac:dyDescent="0.25">
      <c r="A849" s="139"/>
      <c r="B849" s="136" t="s">
        <v>1600</v>
      </c>
      <c r="C849" s="137" t="s">
        <v>1601</v>
      </c>
      <c r="D849" s="138"/>
      <c r="E849" s="138"/>
      <c r="F849" s="138"/>
      <c r="G849" s="171">
        <v>23.9</v>
      </c>
      <c r="H849" s="349">
        <v>650</v>
      </c>
      <c r="I849" s="172">
        <v>1330</v>
      </c>
      <c r="J849" s="254">
        <v>3</v>
      </c>
      <c r="K849" s="478"/>
      <c r="L849" s="463"/>
      <c r="M849" s="506"/>
      <c r="T849" s="8">
        <f t="shared" si="18"/>
        <v>0.27032520325203252</v>
      </c>
    </row>
    <row r="850" spans="1:20" hidden="1" outlineLevel="1" x14ac:dyDescent="0.25">
      <c r="A850" s="277"/>
      <c r="B850" s="136" t="s">
        <v>1602</v>
      </c>
      <c r="C850" s="137" t="s">
        <v>1603</v>
      </c>
      <c r="D850" s="138"/>
      <c r="E850" s="138"/>
      <c r="F850" s="138"/>
      <c r="G850" s="171">
        <v>1.6</v>
      </c>
      <c r="H850" s="349">
        <v>43</v>
      </c>
      <c r="I850" s="172">
        <v>130</v>
      </c>
      <c r="J850" s="254">
        <v>16</v>
      </c>
      <c r="K850" s="478"/>
      <c r="L850" s="463"/>
      <c r="M850" s="506"/>
      <c r="T850" s="8">
        <f t="shared" ref="T850:T863" si="20">I850/$I$11</f>
        <v>2.6422764227642278E-2</v>
      </c>
    </row>
    <row r="851" spans="1:20" hidden="1" outlineLevel="1" x14ac:dyDescent="0.25">
      <c r="A851" s="277"/>
      <c r="B851" s="136" t="s">
        <v>1604</v>
      </c>
      <c r="C851" s="137" t="s">
        <v>1605</v>
      </c>
      <c r="D851" s="138"/>
      <c r="E851" s="138"/>
      <c r="F851" s="138"/>
      <c r="G851" s="171">
        <v>0.7</v>
      </c>
      <c r="H851" s="349">
        <v>18</v>
      </c>
      <c r="I851" s="172">
        <v>70</v>
      </c>
      <c r="J851" s="254">
        <v>17</v>
      </c>
      <c r="K851" s="478"/>
      <c r="L851" s="463"/>
      <c r="M851" s="506"/>
      <c r="T851" s="8">
        <f t="shared" si="20"/>
        <v>1.4227642276422764E-2</v>
      </c>
    </row>
    <row r="852" spans="1:20" hidden="1" outlineLevel="1" x14ac:dyDescent="0.25">
      <c r="A852" s="277"/>
      <c r="B852" s="136" t="s">
        <v>1606</v>
      </c>
      <c r="C852" s="137" t="s">
        <v>1607</v>
      </c>
      <c r="D852" s="138"/>
      <c r="E852" s="138"/>
      <c r="F852" s="138"/>
      <c r="G852" s="171">
        <v>20.8</v>
      </c>
      <c r="H852" s="349">
        <v>566</v>
      </c>
      <c r="I852" s="172">
        <v>760</v>
      </c>
      <c r="J852" s="254">
        <v>9</v>
      </c>
      <c r="K852" s="478"/>
      <c r="L852" s="463"/>
      <c r="M852" s="506"/>
      <c r="T852" s="8">
        <f t="shared" si="20"/>
        <v>0.15447154471544716</v>
      </c>
    </row>
    <row r="853" spans="1:20" hidden="1" outlineLevel="1" x14ac:dyDescent="0.25">
      <c r="A853" s="277"/>
      <c r="B853" s="136" t="s">
        <v>1608</v>
      </c>
      <c r="C853" s="137" t="s">
        <v>1609</v>
      </c>
      <c r="D853" s="138"/>
      <c r="E853" s="138"/>
      <c r="F853" s="138"/>
      <c r="G853" s="171">
        <v>0.5</v>
      </c>
      <c r="H853" s="349">
        <v>13</v>
      </c>
      <c r="I853" s="172">
        <v>80</v>
      </c>
      <c r="J853" s="254">
        <v>43.9</v>
      </c>
      <c r="K853" s="478"/>
      <c r="L853" s="463"/>
      <c r="M853" s="506"/>
      <c r="T853" s="8">
        <f t="shared" si="20"/>
        <v>1.6260162601626018E-2</v>
      </c>
    </row>
    <row r="854" spans="1:20" hidden="1" outlineLevel="1" x14ac:dyDescent="0.25">
      <c r="A854" s="277"/>
      <c r="B854" s="136" t="s">
        <v>1610</v>
      </c>
      <c r="C854" s="137" t="s">
        <v>1611</v>
      </c>
      <c r="D854" s="138"/>
      <c r="E854" s="138"/>
      <c r="F854" s="138"/>
      <c r="G854" s="171">
        <v>0.2</v>
      </c>
      <c r="H854" s="349">
        <v>7</v>
      </c>
      <c r="I854" s="172">
        <v>30</v>
      </c>
      <c r="J854" s="254">
        <v>31</v>
      </c>
      <c r="K854" s="478"/>
      <c r="L854" s="463"/>
      <c r="M854" s="506"/>
      <c r="T854" s="8">
        <f t="shared" si="20"/>
        <v>6.0975609756097563E-3</v>
      </c>
    </row>
    <row r="855" spans="1:20" hidden="1" outlineLevel="1" x14ac:dyDescent="0.25">
      <c r="A855" s="277"/>
      <c r="B855" s="136" t="s">
        <v>1612</v>
      </c>
      <c r="C855" s="137" t="s">
        <v>1613</v>
      </c>
      <c r="D855" s="138"/>
      <c r="E855" s="138"/>
      <c r="F855" s="138"/>
      <c r="G855" s="171">
        <v>8.6</v>
      </c>
      <c r="H855" s="349">
        <v>235</v>
      </c>
      <c r="I855" s="172">
        <v>60</v>
      </c>
      <c r="J855" s="254">
        <v>32.4</v>
      </c>
      <c r="K855" s="478"/>
      <c r="L855" s="463"/>
      <c r="M855" s="506"/>
      <c r="T855" s="8">
        <f t="shared" si="20"/>
        <v>1.2195121951219513E-2</v>
      </c>
    </row>
    <row r="856" spans="1:20" hidden="1" outlineLevel="1" x14ac:dyDescent="0.25">
      <c r="A856" s="286"/>
      <c r="B856" s="118"/>
      <c r="C856" s="118"/>
      <c r="D856" s="118"/>
      <c r="E856" s="118"/>
      <c r="F856" s="118"/>
      <c r="G856" s="118"/>
      <c r="H856" s="118"/>
      <c r="I856" s="118"/>
      <c r="J856" s="118"/>
      <c r="K856" s="478"/>
      <c r="L856" s="463"/>
      <c r="M856" s="506"/>
      <c r="T856" s="8">
        <f t="shared" si="20"/>
        <v>0</v>
      </c>
    </row>
    <row r="857" spans="1:20" outlineLevel="1" x14ac:dyDescent="0.25">
      <c r="A857" s="286">
        <v>14.6</v>
      </c>
      <c r="B857" s="155" t="s">
        <v>1614</v>
      </c>
      <c r="C857" s="118"/>
      <c r="D857" s="118"/>
      <c r="E857" s="118"/>
      <c r="F857" s="118"/>
      <c r="G857" s="171">
        <v>5.8</v>
      </c>
      <c r="H857" s="349">
        <v>158</v>
      </c>
      <c r="I857" s="172">
        <v>690</v>
      </c>
      <c r="J857" s="254">
        <v>7.4</v>
      </c>
      <c r="K857" s="478"/>
      <c r="L857" s="446" t="str">
        <f>B857</f>
        <v>Savings and investments</v>
      </c>
      <c r="M857" s="544"/>
      <c r="N857" s="116"/>
      <c r="O857" s="116"/>
      <c r="P857" s="116"/>
      <c r="Q857" s="116" t="s">
        <v>587</v>
      </c>
      <c r="R857" s="116" t="s">
        <v>1615</v>
      </c>
      <c r="T857" s="8">
        <f t="shared" si="20"/>
        <v>0.1402439024390244</v>
      </c>
    </row>
    <row r="858" spans="1:20" hidden="1" outlineLevel="1" x14ac:dyDescent="0.25">
      <c r="A858" s="277"/>
      <c r="B858" s="136" t="s">
        <v>1616</v>
      </c>
      <c r="C858" s="137" t="s">
        <v>1617</v>
      </c>
      <c r="D858" s="138"/>
      <c r="E858" s="138"/>
      <c r="F858" s="138"/>
      <c r="G858" s="171">
        <v>5</v>
      </c>
      <c r="H858" s="349">
        <v>137</v>
      </c>
      <c r="I858" s="172">
        <v>490</v>
      </c>
      <c r="J858" s="254">
        <v>8.4</v>
      </c>
      <c r="K858" s="478"/>
      <c r="L858" s="463"/>
      <c r="M858" s="506"/>
      <c r="T858" s="8">
        <f t="shared" si="20"/>
        <v>9.959349593495935E-2</v>
      </c>
    </row>
    <row r="859" spans="1:20" hidden="1" outlineLevel="1" x14ac:dyDescent="0.25">
      <c r="A859" s="277"/>
      <c r="B859" s="136" t="s">
        <v>1618</v>
      </c>
      <c r="C859" s="137" t="s">
        <v>1619</v>
      </c>
      <c r="D859" s="138"/>
      <c r="E859" s="138"/>
      <c r="F859" s="138"/>
      <c r="G859" s="171">
        <v>0.6</v>
      </c>
      <c r="H859" s="349">
        <v>15</v>
      </c>
      <c r="I859" s="172">
        <v>70</v>
      </c>
      <c r="J859" s="254">
        <v>16.2</v>
      </c>
      <c r="K859" s="478"/>
      <c r="L859" s="463"/>
      <c r="M859" s="506"/>
      <c r="T859" s="8">
        <f t="shared" si="20"/>
        <v>1.4227642276422764E-2</v>
      </c>
    </row>
    <row r="860" spans="1:20" hidden="1" outlineLevel="1" x14ac:dyDescent="0.25">
      <c r="A860" s="136"/>
      <c r="B860" s="136" t="s">
        <v>1620</v>
      </c>
      <c r="C860" s="137" t="s">
        <v>1621</v>
      </c>
      <c r="D860" s="138"/>
      <c r="E860" s="138"/>
      <c r="F860" s="138"/>
      <c r="G860" s="171">
        <v>0.2</v>
      </c>
      <c r="H860" s="349">
        <v>6</v>
      </c>
      <c r="I860" s="172">
        <v>170</v>
      </c>
      <c r="J860" s="254">
        <v>18.100000000000001</v>
      </c>
      <c r="K860" s="478"/>
      <c r="L860" s="463"/>
      <c r="M860" s="506"/>
      <c r="T860" s="8">
        <f t="shared" si="20"/>
        <v>3.4552845528455285E-2</v>
      </c>
    </row>
    <row r="861" spans="1:20" hidden="1" outlineLevel="1" x14ac:dyDescent="0.25">
      <c r="A861" s="118"/>
      <c r="B861" s="118"/>
      <c r="C861" s="118"/>
      <c r="D861" s="118"/>
      <c r="E861" s="118"/>
      <c r="F861" s="118"/>
      <c r="G861" s="118"/>
      <c r="H861" s="118"/>
      <c r="I861" s="118"/>
      <c r="J861" s="118"/>
      <c r="K861" s="478"/>
      <c r="L861" s="463"/>
      <c r="M861" s="506"/>
      <c r="T861" s="8">
        <f t="shared" si="20"/>
        <v>0</v>
      </c>
    </row>
    <row r="862" spans="1:20" outlineLevel="1" x14ac:dyDescent="0.25">
      <c r="A862" s="286">
        <v>14.7</v>
      </c>
      <c r="B862" s="286" t="s">
        <v>1622</v>
      </c>
      <c r="C862" s="183"/>
      <c r="D862" s="183"/>
      <c r="E862" s="183"/>
      <c r="F862" s="183"/>
      <c r="G862" s="171">
        <v>2</v>
      </c>
      <c r="H862" s="349">
        <v>54</v>
      </c>
      <c r="I862" s="172">
        <v>240</v>
      </c>
      <c r="J862" s="254">
        <v>8.3000000000000007</v>
      </c>
      <c r="K862" s="478"/>
      <c r="L862" s="465" t="str">
        <f>B862</f>
        <v>Pay off loan to clear other debt</v>
      </c>
      <c r="M862" s="544"/>
      <c r="N862" s="116"/>
      <c r="O862" s="116"/>
      <c r="P862" s="116"/>
      <c r="Q862" s="116" t="s">
        <v>587</v>
      </c>
      <c r="R862" s="116" t="s">
        <v>1623</v>
      </c>
      <c r="T862" s="8">
        <f t="shared" si="20"/>
        <v>4.878048780487805E-2</v>
      </c>
    </row>
    <row r="863" spans="1:20" outlineLevel="1" x14ac:dyDescent="0.25">
      <c r="A863" s="286">
        <v>14.8</v>
      </c>
      <c r="B863" s="286" t="s">
        <v>1624</v>
      </c>
      <c r="C863" s="183"/>
      <c r="D863" s="183"/>
      <c r="E863" s="183"/>
      <c r="F863" s="183"/>
      <c r="G863" s="171">
        <v>1.8</v>
      </c>
      <c r="H863" s="349">
        <v>48</v>
      </c>
      <c r="I863" s="172">
        <v>430</v>
      </c>
      <c r="J863" s="254">
        <v>11.9</v>
      </c>
      <c r="K863" s="478"/>
      <c r="L863" s="465" t="str">
        <f>B863</f>
        <v>Windfall receipts from gambling etc4</v>
      </c>
      <c r="M863" s="544"/>
      <c r="N863" s="116"/>
      <c r="O863" s="116"/>
      <c r="P863" s="116"/>
      <c r="Q863" s="116" t="s">
        <v>587</v>
      </c>
      <c r="R863" s="116" t="s">
        <v>1338</v>
      </c>
      <c r="T863" s="8">
        <f t="shared" si="20"/>
        <v>8.7398373983739841E-2</v>
      </c>
    </row>
    <row r="864" spans="1:20" hidden="1" outlineLevel="1" x14ac:dyDescent="0.25">
      <c r="A864" s="129"/>
      <c r="B864" s="129"/>
      <c r="C864" s="130"/>
      <c r="D864" s="131"/>
      <c r="E864" s="131"/>
      <c r="F864" s="131"/>
      <c r="G864" s="132"/>
      <c r="H864" s="348"/>
      <c r="I864" s="130"/>
      <c r="J864" s="134"/>
      <c r="K864" s="468"/>
      <c r="L864" s="435"/>
      <c r="M864" s="501"/>
      <c r="T864" s="8"/>
    </row>
    <row r="865" spans="1:13" hidden="1" x14ac:dyDescent="0.25">
      <c r="A865" s="118"/>
      <c r="B865" s="118"/>
      <c r="C865" s="118"/>
      <c r="D865" s="118"/>
      <c r="E865" s="118"/>
      <c r="F865" s="118"/>
      <c r="G865" s="118"/>
      <c r="H865" s="118"/>
      <c r="I865" s="118"/>
      <c r="J865" s="118"/>
      <c r="K865" s="468"/>
      <c r="L865" s="435"/>
      <c r="M865" s="501"/>
    </row>
    <row r="866" spans="1:13" hidden="1" x14ac:dyDescent="0.25">
      <c r="A866" s="43" t="s">
        <v>775</v>
      </c>
    </row>
    <row r="867" spans="1:13" hidden="1" x14ac:dyDescent="0.25">
      <c r="A867" s="43" t="s">
        <v>776</v>
      </c>
    </row>
    <row r="868" spans="1:13" hidden="1" x14ac:dyDescent="0.25">
      <c r="A868" s="43" t="s">
        <v>613</v>
      </c>
    </row>
    <row r="869" spans="1:13" hidden="1" x14ac:dyDescent="0.25">
      <c r="A869" s="390" t="s">
        <v>1625</v>
      </c>
    </row>
    <row r="870" spans="1:13" hidden="1" x14ac:dyDescent="0.25">
      <c r="A870" s="389"/>
    </row>
    <row r="871" spans="1:13" hidden="1" x14ac:dyDescent="0.25">
      <c r="A871" s="390"/>
    </row>
    <row r="872" spans="1:13" hidden="1" x14ac:dyDescent="0.25"/>
    <row r="873" spans="1:13" hidden="1" x14ac:dyDescent="0.25">
      <c r="A873" s="106" t="s">
        <v>616</v>
      </c>
    </row>
    <row r="874" spans="1:13" hidden="1" x14ac:dyDescent="0.25"/>
    <row r="875" spans="1:13" hidden="1" x14ac:dyDescent="0.25"/>
    <row r="876" spans="1:13" hidden="1" x14ac:dyDescent="0.25"/>
    <row r="877" spans="1:13" hidden="1" x14ac:dyDescent="0.25"/>
    <row r="878" spans="1:13" hidden="1" x14ac:dyDescent="0.25"/>
    <row r="879" spans="1:13" hidden="1" x14ac:dyDescent="0.25">
      <c r="A879" s="220"/>
    </row>
  </sheetData>
  <sheetProtection algorithmName="SHA-512" hashValue="sQP1f1M3WKP7dYP87HzSx0JJmxeTEbTsVCVwmq+S+YpPwCrblXnrIsPuetGHhXseY5TiICCImZ/6aIEOV/48nQ==" saltValue="Asm3eDZRgmNeLrmAcXEqQw==" spinCount="100000" sheet="1" objects="1" scenarios="1"/>
  <autoFilter ref="L1:L879" xr:uid="{00000000-0009-0000-0000-000007000000}">
    <filterColumn colId="0">
      <customFilters>
        <customFilter operator="notEqual" val=" "/>
      </customFilters>
    </filterColumn>
  </autoFilter>
  <mergeCells count="3">
    <mergeCell ref="D330:F330"/>
    <mergeCell ref="D335:F335"/>
    <mergeCell ref="K16:L16"/>
  </mergeCells>
  <pageMargins left="0.25" right="0.25" top="0.75" bottom="0.75" header="0.3" footer="0.3"/>
  <pageSetup paperSize="9" scale="4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E42"/>
  <sheetViews>
    <sheetView topLeftCell="A28" workbookViewId="0">
      <selection activeCell="C50" sqref="C50"/>
    </sheetView>
  </sheetViews>
  <sheetFormatPr defaultRowHeight="15" x14ac:dyDescent="0.25"/>
  <cols>
    <col min="1" max="1" width="8.140625" customWidth="1"/>
    <col min="2" max="2" width="10.7109375" bestFit="1" customWidth="1"/>
    <col min="3" max="3" width="113.28515625" customWidth="1"/>
    <col min="4" max="4" width="10" customWidth="1"/>
    <col min="5" max="5" width="38.28515625" customWidth="1"/>
  </cols>
  <sheetData>
    <row r="1" spans="1:5" x14ac:dyDescent="0.25">
      <c r="A1" s="10" t="s">
        <v>1626</v>
      </c>
    </row>
    <row r="2" spans="1:5" ht="30" x14ac:dyDescent="0.25">
      <c r="A2" s="775" t="s">
        <v>1627</v>
      </c>
      <c r="B2" s="775" t="s">
        <v>1628</v>
      </c>
      <c r="C2" s="775" t="s">
        <v>1629</v>
      </c>
      <c r="D2" s="775" t="s">
        <v>1630</v>
      </c>
      <c r="E2" s="775" t="s">
        <v>1631</v>
      </c>
    </row>
    <row r="4" spans="1:5" x14ac:dyDescent="0.25">
      <c r="A4">
        <v>1</v>
      </c>
      <c r="B4" s="11" t="s">
        <v>1632</v>
      </c>
      <c r="C4" t="s">
        <v>1633</v>
      </c>
    </row>
    <row r="5" spans="1:5" x14ac:dyDescent="0.25">
      <c r="A5">
        <v>2</v>
      </c>
      <c r="B5" s="11" t="s">
        <v>1634</v>
      </c>
      <c r="C5" t="s">
        <v>1635</v>
      </c>
      <c r="E5" t="s">
        <v>1636</v>
      </c>
    </row>
    <row r="6" spans="1:5" x14ac:dyDescent="0.25">
      <c r="A6">
        <v>3</v>
      </c>
      <c r="B6" s="11" t="s">
        <v>1637</v>
      </c>
      <c r="C6" t="s">
        <v>1638</v>
      </c>
      <c r="E6" t="s">
        <v>1639</v>
      </c>
    </row>
    <row r="7" spans="1:5" x14ac:dyDescent="0.25">
      <c r="A7" s="11" t="s">
        <v>1640</v>
      </c>
      <c r="B7" s="11" t="s">
        <v>1641</v>
      </c>
      <c r="C7" t="s">
        <v>1642</v>
      </c>
    </row>
    <row r="8" spans="1:5" x14ac:dyDescent="0.25">
      <c r="C8" t="s">
        <v>1643</v>
      </c>
    </row>
    <row r="9" spans="1:5" x14ac:dyDescent="0.25">
      <c r="C9" t="s">
        <v>1644</v>
      </c>
    </row>
    <row r="10" spans="1:5" x14ac:dyDescent="0.25">
      <c r="C10" t="s">
        <v>1645</v>
      </c>
    </row>
    <row r="11" spans="1:5" x14ac:dyDescent="0.25">
      <c r="C11" t="s">
        <v>1646</v>
      </c>
    </row>
    <row r="12" spans="1:5" x14ac:dyDescent="0.25">
      <c r="A12" s="11" t="s">
        <v>1647</v>
      </c>
      <c r="C12" t="s">
        <v>1648</v>
      </c>
    </row>
    <row r="13" spans="1:5" s="13" customFormat="1" ht="30" x14ac:dyDescent="0.25">
      <c r="A13" s="13">
        <v>2.7</v>
      </c>
      <c r="B13" s="14">
        <v>42705</v>
      </c>
      <c r="C13" s="13" t="s">
        <v>1649</v>
      </c>
    </row>
    <row r="14" spans="1:5" ht="30" x14ac:dyDescent="0.25">
      <c r="A14">
        <v>2.8</v>
      </c>
      <c r="B14" s="15">
        <v>42856</v>
      </c>
      <c r="C14" s="13" t="s">
        <v>1650</v>
      </c>
      <c r="D14" s="13"/>
    </row>
    <row r="15" spans="1:5" ht="211.5" customHeight="1" x14ac:dyDescent="0.25">
      <c r="A15" t="s">
        <v>1651</v>
      </c>
      <c r="B15" s="15">
        <v>43132</v>
      </c>
      <c r="C15" s="13" t="s">
        <v>1652</v>
      </c>
      <c r="D15" s="13" t="s">
        <v>1653</v>
      </c>
    </row>
    <row r="16" spans="1:5" x14ac:dyDescent="0.25">
      <c r="A16" t="s">
        <v>1654</v>
      </c>
      <c r="B16" s="15">
        <v>43191</v>
      </c>
      <c r="C16" s="13" t="s">
        <v>1655</v>
      </c>
      <c r="D16" s="13" t="s">
        <v>1653</v>
      </c>
    </row>
    <row r="17" spans="1:5" ht="30" x14ac:dyDescent="0.25">
      <c r="A17" t="s">
        <v>1656</v>
      </c>
      <c r="B17" s="15">
        <v>43191</v>
      </c>
      <c r="C17" s="13" t="s">
        <v>1657</v>
      </c>
      <c r="D17" s="13" t="s">
        <v>1653</v>
      </c>
    </row>
    <row r="18" spans="1:5" x14ac:dyDescent="0.25">
      <c r="A18" t="s">
        <v>1658</v>
      </c>
      <c r="B18" s="15">
        <v>43214</v>
      </c>
      <c r="C18" s="13" t="s">
        <v>1659</v>
      </c>
      <c r="D18" s="13" t="s">
        <v>1653</v>
      </c>
    </row>
    <row r="19" spans="1:5" ht="75" x14ac:dyDescent="0.25">
      <c r="A19" t="s">
        <v>1660</v>
      </c>
      <c r="B19" s="15">
        <v>43224</v>
      </c>
      <c r="C19" s="13" t="s">
        <v>1661</v>
      </c>
      <c r="D19" s="13" t="s">
        <v>1653</v>
      </c>
    </row>
    <row r="20" spans="1:5" ht="45" x14ac:dyDescent="0.25">
      <c r="A20" t="s">
        <v>1662</v>
      </c>
      <c r="B20" s="15">
        <v>43235</v>
      </c>
      <c r="C20" s="591" t="s">
        <v>1663</v>
      </c>
      <c r="D20" s="591" t="s">
        <v>1653</v>
      </c>
    </row>
    <row r="21" spans="1:5" ht="90" x14ac:dyDescent="0.25">
      <c r="A21" t="s">
        <v>1664</v>
      </c>
      <c r="B21" t="s">
        <v>1665</v>
      </c>
      <c r="C21" s="13" t="s">
        <v>1666</v>
      </c>
      <c r="D21" s="13" t="s">
        <v>1653</v>
      </c>
      <c r="E21" t="s">
        <v>1667</v>
      </c>
    </row>
    <row r="22" spans="1:5" ht="45" x14ac:dyDescent="0.25">
      <c r="A22" s="399" t="s">
        <v>1668</v>
      </c>
      <c r="B22" s="611">
        <v>43311</v>
      </c>
      <c r="C22" s="591" t="s">
        <v>1669</v>
      </c>
      <c r="D22" s="591" t="s">
        <v>1653</v>
      </c>
      <c r="E22" t="s">
        <v>1670</v>
      </c>
    </row>
    <row r="23" spans="1:5" ht="75" x14ac:dyDescent="0.25">
      <c r="A23" t="s">
        <v>1671</v>
      </c>
      <c r="B23" s="610">
        <v>43329</v>
      </c>
      <c r="C23" s="13" t="s">
        <v>1672</v>
      </c>
      <c r="D23" s="13" t="s">
        <v>1653</v>
      </c>
    </row>
    <row r="24" spans="1:5" x14ac:dyDescent="0.25">
      <c r="A24" t="s">
        <v>1673</v>
      </c>
      <c r="B24" s="610">
        <v>43207</v>
      </c>
      <c r="C24" s="13" t="s">
        <v>1674</v>
      </c>
      <c r="D24" s="13" t="s">
        <v>1653</v>
      </c>
      <c r="E24" t="s">
        <v>1670</v>
      </c>
    </row>
    <row r="25" spans="1:5" ht="30" x14ac:dyDescent="0.25">
      <c r="A25" t="s">
        <v>1675</v>
      </c>
      <c r="B25" s="610">
        <v>43211</v>
      </c>
      <c r="C25" s="13" t="s">
        <v>1676</v>
      </c>
      <c r="D25" s="13" t="s">
        <v>1653</v>
      </c>
    </row>
    <row r="26" spans="1:5" x14ac:dyDescent="0.25">
      <c r="A26" t="s">
        <v>1677</v>
      </c>
      <c r="B26" s="610">
        <v>43211</v>
      </c>
      <c r="C26" s="13" t="s">
        <v>1678</v>
      </c>
      <c r="D26" s="13" t="s">
        <v>1653</v>
      </c>
      <c r="E26" t="s">
        <v>1670</v>
      </c>
    </row>
    <row r="27" spans="1:5" x14ac:dyDescent="0.25">
      <c r="A27" t="s">
        <v>1679</v>
      </c>
      <c r="B27" s="610">
        <v>43350</v>
      </c>
      <c r="C27" s="13" t="s">
        <v>1680</v>
      </c>
      <c r="D27" s="13" t="s">
        <v>1681</v>
      </c>
    </row>
    <row r="28" spans="1:5" ht="30" x14ac:dyDescent="0.25">
      <c r="A28" t="s">
        <v>1682</v>
      </c>
      <c r="B28" s="610">
        <v>43353</v>
      </c>
      <c r="C28" s="13" t="s">
        <v>1683</v>
      </c>
      <c r="D28" s="13" t="s">
        <v>1653</v>
      </c>
      <c r="E28" t="s">
        <v>1684</v>
      </c>
    </row>
    <row r="29" spans="1:5" x14ac:dyDescent="0.25">
      <c r="A29" t="s">
        <v>1685</v>
      </c>
      <c r="B29" s="610">
        <v>43353</v>
      </c>
      <c r="C29" s="13" t="s">
        <v>1686</v>
      </c>
      <c r="D29" s="13" t="s">
        <v>1687</v>
      </c>
    </row>
    <row r="30" spans="1:5" x14ac:dyDescent="0.25">
      <c r="A30" t="s">
        <v>1688</v>
      </c>
      <c r="B30" s="610">
        <v>43354</v>
      </c>
      <c r="C30" s="13" t="s">
        <v>1689</v>
      </c>
      <c r="D30" s="13" t="s">
        <v>1653</v>
      </c>
    </row>
    <row r="31" spans="1:5" ht="30" x14ac:dyDescent="0.25">
      <c r="A31" t="s">
        <v>1690</v>
      </c>
      <c r="B31" s="610">
        <v>43418</v>
      </c>
      <c r="C31" s="13" t="s">
        <v>1691</v>
      </c>
      <c r="D31" s="13" t="s">
        <v>1653</v>
      </c>
      <c r="E31" t="s">
        <v>1670</v>
      </c>
    </row>
    <row r="32" spans="1:5" ht="30" x14ac:dyDescent="0.25">
      <c r="A32" t="s">
        <v>1692</v>
      </c>
      <c r="B32" s="610">
        <v>43438</v>
      </c>
      <c r="C32" s="13" t="s">
        <v>1693</v>
      </c>
      <c r="D32" s="13" t="s">
        <v>1653</v>
      </c>
      <c r="E32" t="s">
        <v>1694</v>
      </c>
    </row>
    <row r="33" spans="1:5" ht="45" x14ac:dyDescent="0.25">
      <c r="A33">
        <v>6.1</v>
      </c>
      <c r="B33" s="610">
        <v>43465</v>
      </c>
      <c r="C33" s="13" t="s">
        <v>1695</v>
      </c>
      <c r="D33" s="13" t="s">
        <v>1653</v>
      </c>
    </row>
    <row r="34" spans="1:5" x14ac:dyDescent="0.25">
      <c r="A34">
        <v>7</v>
      </c>
      <c r="B34" s="610">
        <v>43473</v>
      </c>
      <c r="C34" s="13" t="s">
        <v>1696</v>
      </c>
      <c r="D34" s="13" t="s">
        <v>1653</v>
      </c>
      <c r="E34" t="s">
        <v>1670</v>
      </c>
    </row>
    <row r="35" spans="1:5" ht="30" x14ac:dyDescent="0.25">
      <c r="A35">
        <v>7.1</v>
      </c>
      <c r="B35" s="610">
        <v>43571</v>
      </c>
      <c r="C35" s="13" t="s">
        <v>1697</v>
      </c>
      <c r="D35" s="13" t="s">
        <v>1698</v>
      </c>
    </row>
    <row r="36" spans="1:5" ht="45" x14ac:dyDescent="0.25">
      <c r="A36">
        <v>7.2</v>
      </c>
      <c r="B36" s="610">
        <v>43572</v>
      </c>
      <c r="C36" s="13" t="s">
        <v>1699</v>
      </c>
      <c r="D36" s="13" t="s">
        <v>1700</v>
      </c>
    </row>
    <row r="37" spans="1:5" ht="45" x14ac:dyDescent="0.25">
      <c r="A37">
        <v>7.3</v>
      </c>
      <c r="B37" s="610">
        <v>43578</v>
      </c>
      <c r="C37" s="13" t="s">
        <v>1701</v>
      </c>
      <c r="D37" s="13" t="s">
        <v>1700</v>
      </c>
    </row>
    <row r="38" spans="1:5" ht="30" x14ac:dyDescent="0.25">
      <c r="A38" t="s">
        <v>1702</v>
      </c>
      <c r="B38" s="610">
        <v>43579</v>
      </c>
      <c r="C38" s="13" t="s">
        <v>1703</v>
      </c>
      <c r="D38" s="13" t="s">
        <v>1653</v>
      </c>
    </row>
    <row r="39" spans="1:5" ht="45" x14ac:dyDescent="0.25">
      <c r="A39" t="s">
        <v>1704</v>
      </c>
      <c r="B39" s="610">
        <v>43579</v>
      </c>
      <c r="C39" s="13" t="s">
        <v>1705</v>
      </c>
      <c r="D39" s="13" t="s">
        <v>1700</v>
      </c>
    </row>
    <row r="40" spans="1:5" x14ac:dyDescent="0.25">
      <c r="A40" t="s">
        <v>1706</v>
      </c>
      <c r="B40" s="610">
        <v>43579</v>
      </c>
      <c r="C40" s="13" t="s">
        <v>1707</v>
      </c>
      <c r="D40" s="13" t="s">
        <v>1653</v>
      </c>
    </row>
    <row r="41" spans="1:5" ht="30" x14ac:dyDescent="0.25">
      <c r="A41" t="s">
        <v>1708</v>
      </c>
      <c r="B41" s="610">
        <v>43727</v>
      </c>
      <c r="C41" s="13" t="s">
        <v>1709</v>
      </c>
      <c r="D41" s="13" t="s">
        <v>1653</v>
      </c>
      <c r="E41" t="s">
        <v>1710</v>
      </c>
    </row>
    <row r="42" spans="1:5" x14ac:dyDescent="0.25">
      <c r="A42" s="12"/>
      <c r="B42" s="12"/>
      <c r="C42" s="1156" t="s">
        <v>1711</v>
      </c>
      <c r="D42" s="12"/>
    </row>
  </sheetData>
  <sheetProtection selectLockedCells="1" selectUnlockedCells="1"/>
  <phoneticPr fontId="89" type="noConversion"/>
  <pageMargins left="0.7" right="0.7" top="0.75" bottom="0.75" header="0.3" footer="0.3"/>
  <pageSetup paperSize="9" orientation="portrait" horizontalDpi="4294967293"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65D48-C2BA-4A9A-843D-B83D8F20A38E}">
  <sheetPr codeName="Sheet20"/>
  <dimension ref="A1:L9"/>
  <sheetViews>
    <sheetView workbookViewId="0">
      <selection activeCell="K2" sqref="K2:K7"/>
    </sheetView>
  </sheetViews>
  <sheetFormatPr defaultRowHeight="15" x14ac:dyDescent="0.25"/>
  <cols>
    <col min="1" max="3" width="9.140625" style="555"/>
    <col min="4" max="4" width="10.42578125" style="555" customWidth="1"/>
    <col min="5" max="5" width="9.140625" style="555"/>
    <col min="6" max="6" width="20.42578125" style="555" customWidth="1"/>
    <col min="7" max="7" width="18.42578125" style="555" customWidth="1"/>
    <col min="8" max="8" width="23.28515625" style="555" bestFit="1" customWidth="1"/>
    <col min="9" max="9" width="21.140625" customWidth="1"/>
    <col min="10" max="10" width="20.42578125" customWidth="1"/>
    <col min="11" max="11" width="60.85546875" bestFit="1" customWidth="1"/>
  </cols>
  <sheetData>
    <row r="1" spans="1:12" s="10" customFormat="1" x14ac:dyDescent="0.25">
      <c r="A1" s="557" t="s">
        <v>1712</v>
      </c>
      <c r="B1" s="557" t="s">
        <v>1713</v>
      </c>
      <c r="C1" s="557" t="s">
        <v>1714</v>
      </c>
      <c r="D1" s="557" t="s">
        <v>1715</v>
      </c>
      <c r="E1" s="557" t="s">
        <v>1716</v>
      </c>
      <c r="F1" s="557" t="s">
        <v>1717</v>
      </c>
      <c r="G1" s="557" t="s">
        <v>59</v>
      </c>
      <c r="H1" s="557" t="s">
        <v>1718</v>
      </c>
      <c r="I1" s="10" t="s">
        <v>59</v>
      </c>
      <c r="J1" s="10" t="s">
        <v>1719</v>
      </c>
      <c r="K1" s="10" t="s">
        <v>1812</v>
      </c>
    </row>
    <row r="2" spans="1:12" x14ac:dyDescent="0.25">
      <c r="A2" s="555" t="s">
        <v>1720</v>
      </c>
      <c r="B2" s="555" t="s">
        <v>290</v>
      </c>
      <c r="C2" s="555" t="s">
        <v>290</v>
      </c>
      <c r="D2" s="555" t="s">
        <v>214</v>
      </c>
      <c r="E2" s="555" t="s">
        <v>214</v>
      </c>
      <c r="F2" s="555" t="s">
        <v>1721</v>
      </c>
      <c r="G2" s="555" t="s">
        <v>12</v>
      </c>
      <c r="H2" s="555" t="s">
        <v>1722</v>
      </c>
      <c r="I2" s="555" t="s">
        <v>1723</v>
      </c>
      <c r="J2" s="555" t="s">
        <v>1724</v>
      </c>
      <c r="K2" s="1518" t="s">
        <v>1813</v>
      </c>
      <c r="L2">
        <v>1</v>
      </c>
    </row>
    <row r="3" spans="1:12" x14ac:dyDescent="0.25">
      <c r="A3" s="555" t="s">
        <v>1725</v>
      </c>
      <c r="B3" s="555" t="s">
        <v>291</v>
      </c>
      <c r="C3" s="555" t="s">
        <v>291</v>
      </c>
      <c r="D3" s="555" t="s">
        <v>215</v>
      </c>
      <c r="E3" s="555" t="s">
        <v>215</v>
      </c>
      <c r="F3" s="555" t="s">
        <v>1726</v>
      </c>
      <c r="G3" s="555" t="s">
        <v>1727</v>
      </c>
      <c r="H3" s="555" t="s">
        <v>1728</v>
      </c>
      <c r="I3" s="555" t="s">
        <v>13</v>
      </c>
      <c r="J3" s="555" t="s">
        <v>1729</v>
      </c>
      <c r="K3" s="1518" t="s">
        <v>1814</v>
      </c>
      <c r="L3">
        <v>2</v>
      </c>
    </row>
    <row r="4" spans="1:12" x14ac:dyDescent="0.25">
      <c r="A4" s="555" t="s">
        <v>1730</v>
      </c>
      <c r="C4" s="555" t="s">
        <v>1731</v>
      </c>
      <c r="D4" s="555" t="s">
        <v>216</v>
      </c>
      <c r="E4" s="555" t="s">
        <v>216</v>
      </c>
      <c r="F4" s="555" t="s">
        <v>1732</v>
      </c>
      <c r="G4" s="555" t="s">
        <v>11</v>
      </c>
      <c r="H4" s="555" t="s">
        <v>1733</v>
      </c>
      <c r="I4" s="555" t="s">
        <v>11</v>
      </c>
      <c r="J4" s="555" t="s">
        <v>1734</v>
      </c>
      <c r="K4" s="1518" t="s">
        <v>1815</v>
      </c>
      <c r="L4">
        <v>3</v>
      </c>
    </row>
    <row r="5" spans="1:12" x14ac:dyDescent="0.25">
      <c r="A5" s="555" t="s">
        <v>1735</v>
      </c>
      <c r="D5" s="555" t="s">
        <v>1736</v>
      </c>
      <c r="E5" s="555" t="s">
        <v>217</v>
      </c>
      <c r="F5" s="555" t="s">
        <v>1737</v>
      </c>
      <c r="H5" s="555" t="s">
        <v>1738</v>
      </c>
      <c r="J5" s="555" t="s">
        <v>1739</v>
      </c>
      <c r="K5" s="778" t="s">
        <v>1816</v>
      </c>
      <c r="L5">
        <v>4</v>
      </c>
    </row>
    <row r="6" spans="1:12" x14ac:dyDescent="0.25">
      <c r="A6" s="555" t="s">
        <v>1726</v>
      </c>
      <c r="D6" s="555" t="s">
        <v>1740</v>
      </c>
      <c r="F6" s="555" t="s">
        <v>1741</v>
      </c>
      <c r="H6" s="555" t="s">
        <v>1742</v>
      </c>
      <c r="J6" s="555" t="s">
        <v>1743</v>
      </c>
      <c r="K6" s="1518" t="s">
        <v>1817</v>
      </c>
      <c r="L6">
        <v>5</v>
      </c>
    </row>
    <row r="7" spans="1:12" x14ac:dyDescent="0.25">
      <c r="F7" s="555" t="s">
        <v>1744</v>
      </c>
      <c r="H7" s="555" t="s">
        <v>1745</v>
      </c>
      <c r="J7" s="555" t="s">
        <v>1746</v>
      </c>
      <c r="K7" s="1518" t="s">
        <v>1818</v>
      </c>
      <c r="L7">
        <v>6</v>
      </c>
    </row>
    <row r="8" spans="1:12" x14ac:dyDescent="0.25">
      <c r="F8" s="555" t="s">
        <v>1747</v>
      </c>
    </row>
    <row r="9" spans="1:12" x14ac:dyDescent="0.25">
      <c r="F9" s="555" t="s">
        <v>1740</v>
      </c>
    </row>
  </sheetData>
  <phoneticPr fontId="89"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ecbf433c-beae-48a7-ab83-9a2adc028536">
      <UserInfo>
        <DisplayName>Daniel Longmire</DisplayName>
        <AccountId>20</AccountId>
        <AccountType/>
      </UserInfo>
      <UserInfo>
        <DisplayName>Louise Jervis</DisplayName>
        <AccountId>45</AccountId>
        <AccountType/>
      </UserInfo>
      <UserInfo>
        <DisplayName>Claire Harrison</DisplayName>
        <AccountId>16</AccountId>
        <AccountType/>
      </UserInfo>
      <UserInfo>
        <DisplayName>Karen Smith</DisplayName>
        <AccountId>21</AccountId>
        <AccountType/>
      </UserInfo>
      <UserInfo>
        <DisplayName>Caroline Shard</DisplayName>
        <AccountId>28</AccountId>
        <AccountType/>
      </UserInfo>
      <UserInfo>
        <DisplayName>Tracey Wright</DisplayName>
        <AccountId>52</AccountId>
        <AccountType/>
      </UserInfo>
      <UserInfo>
        <DisplayName>svcMSFlow</DisplayName>
        <AccountId>515</AccountId>
        <AccountType/>
      </UserInfo>
    </SharedWithUsers>
    <lcf76f155ced4ddcb4097134ff3c332f xmlns="f6f744e5-078d-4e0d-a236-a68db55ec48b">
      <Terms xmlns="http://schemas.microsoft.com/office/infopath/2007/PartnerControls"/>
    </lcf76f155ced4ddcb4097134ff3c332f>
    <TaxCatchAll xmlns="ecbf433c-beae-48a7-ab83-9a2adc02853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A05E04E81FDA349B61E7B51E8FE92A9" ma:contentTypeVersion="19" ma:contentTypeDescription="Create a new document." ma:contentTypeScope="" ma:versionID="354721879f1cdc3cd423689ad30be769">
  <xsd:schema xmlns:xsd="http://www.w3.org/2001/XMLSchema" xmlns:xs="http://www.w3.org/2001/XMLSchema" xmlns:p="http://schemas.microsoft.com/office/2006/metadata/properties" xmlns:ns2="ecbf433c-beae-48a7-ab83-9a2adc028536" xmlns:ns3="f6f744e5-078d-4e0d-a236-a68db55ec48b" targetNamespace="http://schemas.microsoft.com/office/2006/metadata/properties" ma:root="true" ma:fieldsID="e2ecee5c6d0fd18a91a612bbf04aad89" ns2:_="" ns3:_="">
    <xsd:import namespace="ecbf433c-beae-48a7-ab83-9a2adc028536"/>
    <xsd:import namespace="f6f744e5-078d-4e0d-a236-a68db55ec48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Location" minOccurs="0"/>
                <xsd:element ref="ns3:MediaServiceOCR" minOccurs="0"/>
                <xsd:element ref="ns3:MediaServiceAutoKeyPoints" minOccurs="0"/>
                <xsd:element ref="ns3:MediaServiceKeyPoint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bf433c-beae-48a7-ab83-9a2adc02853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06e0c2c8-c97c-446c-86bc-b7d685d60a67}" ma:internalName="TaxCatchAll" ma:showField="CatchAllData" ma:web="ecbf433c-beae-48a7-ab83-9a2adc02853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6f744e5-078d-4e0d-a236-a68db55ec48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6dbcdd10-d82f-4626-aea2-26312b52355d"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C3254F-8B56-4D54-BAC4-CB3395AF674F}">
  <ds:schemaRefs>
    <ds:schemaRef ds:uri="http://schemas.microsoft.com/sharepoint/v3/contenttype/forms"/>
  </ds:schemaRefs>
</ds:datastoreItem>
</file>

<file path=customXml/itemProps2.xml><?xml version="1.0" encoding="utf-8"?>
<ds:datastoreItem xmlns:ds="http://schemas.openxmlformats.org/officeDocument/2006/customXml" ds:itemID="{20E5D094-DB53-4F26-BAC4-7E08FA380D48}">
  <ds:schemaRefs>
    <ds:schemaRef ds:uri="ecbf433c-beae-48a7-ab83-9a2adc028536"/>
    <ds:schemaRef ds:uri="http://purl.org/dc/terms/"/>
    <ds:schemaRef ds:uri="http://schemas.openxmlformats.org/package/2006/metadata/core-properties"/>
    <ds:schemaRef ds:uri="f6f744e5-078d-4e0d-a236-a68db55ec48b"/>
    <ds:schemaRef ds:uri="http://purl.org/dc/dcmitype/"/>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31943025-3EB4-4959-A233-37B0F64FDF06}"/>
</file>

<file path=docMetadata/LabelInfo.xml><?xml version="1.0" encoding="utf-8"?>
<clbl:labelList xmlns:clbl="http://schemas.microsoft.com/office/2020/mipLabelMetadata">
  <clbl:label id="{605212d6-8beb-449b-ad74-f05c210cdfc3}" enabled="1" method="Standard" siteId="{d4565481-47f5-4a0d-a1dd-6efdad1083da}"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vt:i4>
      </vt:variant>
    </vt:vector>
  </HeadingPairs>
  <TitlesOfParts>
    <vt:vector size="24" baseType="lpstr">
      <vt:lpstr>Broker</vt:lpstr>
      <vt:lpstr>PEL</vt:lpstr>
      <vt:lpstr>1 - Main</vt:lpstr>
      <vt:lpstr>Drop down</vt:lpstr>
      <vt:lpstr>2 - Income</vt:lpstr>
      <vt:lpstr>3 - Debt</vt:lpstr>
      <vt:lpstr>4 - Expenditure</vt:lpstr>
      <vt:lpstr>5 - Notes</vt:lpstr>
      <vt:lpstr> VBS Criteria</vt:lpstr>
      <vt:lpstr>Guidance Notes</vt:lpstr>
      <vt:lpstr>ONS Update</vt:lpstr>
      <vt:lpstr>ONS Explanation Table</vt:lpstr>
      <vt:lpstr>ONS 2024</vt:lpstr>
      <vt:lpstr>ONS 2022</vt:lpstr>
      <vt:lpstr>ONS 2021</vt:lpstr>
      <vt:lpstr>ONS 2016</vt:lpstr>
      <vt:lpstr>ONS 2018</vt:lpstr>
      <vt:lpstr>ONS expenditure breakdown A1</vt:lpstr>
      <vt:lpstr>Version control</vt:lpstr>
      <vt:lpstr>Admin</vt:lpstr>
      <vt:lpstr>'1 - Main'!Print_Area</vt:lpstr>
      <vt:lpstr>Broker!Print_Area</vt:lpstr>
      <vt:lpstr>'Guidance Notes'!Print_Area</vt:lpstr>
      <vt:lpstr>Term_of_mort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Entwisle</dc:creator>
  <cp:keywords/>
  <dc:description/>
  <cp:lastModifiedBy>Adrian Brocklehurst</cp:lastModifiedBy>
  <cp:revision/>
  <dcterms:created xsi:type="dcterms:W3CDTF">2014-02-12T08:35:11Z</dcterms:created>
  <dcterms:modified xsi:type="dcterms:W3CDTF">2026-08-26T13:35:12Z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0x010100AA05E04E81FDA349B61E7B51E8FE92A9</vt:lpwstr>
  </property>
  <property fmtid="{D5CDD505-2E9C-101B-9397-08002B2CF9AE}" pid="3" name="MSIP_Label_605212d6-8beb-449b-ad74-f05c210cdfc3_Enabled">
    <vt:lpwstr>true</vt:lpwstr>
  </property>
  <property fmtid="{D5CDD505-2E9C-101B-9397-08002B2CF9AE}" pid="4" name="MSIP_Label_605212d6-8beb-449b-ad74-f05c210cdfc3_SetDate">
    <vt:lpwstr>2021-08-20T14:21:53Z</vt:lpwstr>
  </property>
  <property fmtid="{D5CDD505-2E9C-101B-9397-08002B2CF9AE}" pid="5" name="MSIP_Label_605212d6-8beb-449b-ad74-f05c210cdfc3_Method">
    <vt:lpwstr>Standard</vt:lpwstr>
  </property>
  <property fmtid="{D5CDD505-2E9C-101B-9397-08002B2CF9AE}" pid="6" name="MSIP_Label_605212d6-8beb-449b-ad74-f05c210cdfc3_Name">
    <vt:lpwstr>605212d6-8beb-449b-ad74-f05c210cdfc3</vt:lpwstr>
  </property>
  <property fmtid="{D5CDD505-2E9C-101B-9397-08002B2CF9AE}" pid="7" name="MSIP_Label_605212d6-8beb-449b-ad74-f05c210cdfc3_SiteId">
    <vt:lpwstr>d4565481-47f5-4a0d-a1dd-6efdad1083da</vt:lpwstr>
  </property>
  <property fmtid="{D5CDD505-2E9C-101B-9397-08002B2CF9AE}" pid="8" name="MSIP_Label_605212d6-8beb-449b-ad74-f05c210cdfc3_ActionId">
    <vt:lpwstr>e9132281-df33-422f-ab0d-e430f0b8b161</vt:lpwstr>
  </property>
  <property fmtid="{D5CDD505-2E9C-101B-9397-08002B2CF9AE}" pid="9" name="MSIP_Label_605212d6-8beb-449b-ad74-f05c210cdfc3_ContentBits">
    <vt:lpwstr>0</vt:lpwstr>
  </property>
  <property fmtid="{D5CDD505-2E9C-101B-9397-08002B2CF9AE}" pid="10" name="MediaServiceImageTags">
    <vt:lpwstr/>
  </property>
</Properties>
</file>