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ernonbs-my.sharepoint.com/personal/adrian_brocklehurst_thevernon_co_uk/Documents/Desktop/"/>
    </mc:Choice>
  </mc:AlternateContent>
  <xr:revisionPtr revIDLastSave="7" documentId="8_{CF877877-D1F0-4EA6-9EF5-5FC5AC608DC5}" xr6:coauthVersionLast="47" xr6:coauthVersionMax="47" xr10:uidLastSave="{7E51FC72-B4E0-4273-898D-DA7CEC7B257B}"/>
  <workbookProtection workbookAlgorithmName="SHA-512" workbookHashValue="OLYNtgJ3g0cx+04ts4d0QclnPEp9yzeSHUsgzuKaeav8BzAymJPEi4AajQybZxZNH6/B7M3/K2EUdJ9HUWseBA==" workbookSaltValue="PTR3Gi7AW1wKrLpuASNUBw==" workbookSpinCount="100000" lockStructure="1"/>
  <bookViews>
    <workbookView xWindow="-120" yWindow="-120" windowWidth="29040" windowHeight="15720" xr2:uid="{017B81F5-D147-4084-9775-145B166DE6F6}"/>
  </bookViews>
  <sheets>
    <sheet name="Main" sheetId="2" r:id="rId1"/>
    <sheet name="Calculations" sheetId="7" state="hidden" r:id="rId2"/>
    <sheet name="Admin" sheetId="3" state="hidden" r:id="rId3"/>
    <sheet name="ICR Types" sheetId="5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14" i="2" l="1"/>
  <c r="H25" i="3"/>
  <c r="H26" i="3"/>
  <c r="J26" i="3" s="1"/>
  <c r="J28" i="3"/>
  <c r="H27" i="3"/>
  <c r="H28" i="3"/>
  <c r="B28" i="3"/>
  <c r="B52" i="3"/>
  <c r="G28" i="3"/>
  <c r="F28" i="3"/>
  <c r="E28" i="3"/>
  <c r="B18" i="3"/>
  <c r="B25" i="3"/>
  <c r="F27" i="3"/>
  <c r="F26" i="3"/>
  <c r="F25" i="3"/>
  <c r="G25" i="3"/>
  <c r="G26" i="3"/>
  <c r="G27" i="3"/>
  <c r="B40" i="3"/>
  <c r="H15" i="3" l="1"/>
  <c r="E18" i="3"/>
  <c r="H12" i="2"/>
  <c r="B49" i="3"/>
  <c r="B27" i="3"/>
  <c r="E70" i="2"/>
  <c r="E69" i="2"/>
  <c r="E34" i="2" s="1"/>
  <c r="C49" i="3" l="1"/>
  <c r="D49" i="3" s="1"/>
  <c r="E14" i="3"/>
  <c r="F24" i="3" s="1"/>
  <c r="B53" i="3"/>
  <c r="C53" i="3" s="1"/>
  <c r="D53" i="3" s="1"/>
  <c r="M24" i="2" l="1"/>
  <c r="B48" i="3"/>
  <c r="C48" i="3" s="1"/>
  <c r="D48" i="3" s="1"/>
  <c r="B47" i="3"/>
  <c r="C47" i="3" s="1"/>
  <c r="D47" i="3" s="1"/>
  <c r="B46" i="3"/>
  <c r="C46" i="3" s="1"/>
  <c r="D46" i="3" s="1"/>
  <c r="B44" i="3"/>
  <c r="B43" i="3"/>
  <c r="C43" i="3" s="1"/>
  <c r="D43" i="3" s="1"/>
  <c r="B42" i="3"/>
  <c r="B41" i="3"/>
  <c r="C41" i="3" s="1"/>
  <c r="D41" i="3" s="1"/>
  <c r="C40" i="3"/>
  <c r="D40" i="3" s="1"/>
  <c r="B39" i="3"/>
  <c r="B38" i="3"/>
  <c r="C38" i="3" s="1"/>
  <c r="D38" i="3" s="1"/>
  <c r="B37" i="3"/>
  <c r="C37" i="3" s="1"/>
  <c r="D37" i="3" s="1"/>
  <c r="B36" i="3"/>
  <c r="B50" i="3"/>
  <c r="B51" i="3"/>
  <c r="C36" i="3" l="1"/>
  <c r="D36" i="3" s="1"/>
  <c r="B26" i="3"/>
  <c r="C44" i="3" s="1"/>
  <c r="D44" i="3" s="1"/>
  <c r="C39" i="3"/>
  <c r="D39" i="3" s="1"/>
  <c r="C51" i="3"/>
  <c r="D51" i="3" s="1"/>
  <c r="C50" i="3"/>
  <c r="D50" i="3" s="1"/>
  <c r="C52" i="3"/>
  <c r="D52" i="3" s="1"/>
  <c r="B24" i="3" l="1"/>
  <c r="L10" i="3" s="1"/>
  <c r="M5" i="3" l="1"/>
  <c r="M10" i="3"/>
  <c r="E10" i="3" s="1"/>
  <c r="J27" i="3" s="1"/>
  <c r="L5" i="3"/>
  <c r="M8" i="3"/>
  <c r="L8" i="3"/>
  <c r="H24" i="3"/>
  <c r="E26" i="3"/>
  <c r="E27" i="3"/>
  <c r="E25" i="3"/>
  <c r="E24" i="3"/>
  <c r="B19" i="3"/>
  <c r="E8" i="3" l="1"/>
  <c r="E5" i="3"/>
  <c r="E9" i="3"/>
  <c r="E4" i="3"/>
  <c r="B21" i="3"/>
  <c r="C42" i="3" s="1"/>
  <c r="D42" i="3" s="1"/>
  <c r="I28" i="3"/>
  <c r="L28" i="3" s="1"/>
  <c r="I25" i="3"/>
  <c r="I27" i="3"/>
  <c r="L27" i="3" s="1"/>
  <c r="I26" i="3"/>
  <c r="L26" i="3" s="1"/>
  <c r="E29" i="3"/>
  <c r="B15" i="3"/>
  <c r="H39" i="2"/>
  <c r="F23" i="2"/>
  <c r="H19" i="2"/>
  <c r="K28" i="3" l="1"/>
  <c r="J25" i="3"/>
  <c r="B14" i="3"/>
  <c r="B16" i="3" s="1"/>
  <c r="K27" i="3"/>
  <c r="E15" i="3"/>
  <c r="K26" i="3"/>
  <c r="L25" i="3"/>
  <c r="B20" i="3" l="1"/>
  <c r="E19" i="3" s="1"/>
  <c r="N8" i="2"/>
  <c r="K25" i="3"/>
  <c r="E16" i="3" l="1"/>
  <c r="G24" i="3" s="1"/>
  <c r="I24" i="3" s="1"/>
  <c r="I29" i="3" s="1"/>
  <c r="G29" i="3" s="1"/>
  <c r="E16" i="2"/>
  <c r="K15" i="3"/>
  <c r="J24" i="3"/>
  <c r="E17" i="3" l="1"/>
  <c r="K24" i="3"/>
  <c r="K29" i="3" s="1"/>
  <c r="J29" i="3" s="1"/>
  <c r="K19" i="3" l="1"/>
  <c r="C54" i="3"/>
  <c r="H14" i="3"/>
  <c r="D54" i="3" l="1"/>
  <c r="M19" i="2" s="1"/>
  <c r="K14" i="3"/>
  <c r="K16" i="3" s="1"/>
  <c r="F29" i="3"/>
  <c r="J31" i="3" s="1"/>
  <c r="E20" i="3"/>
  <c r="L24" i="3" l="1"/>
  <c r="N10" i="2"/>
  <c r="K18" i="3"/>
  <c r="K20" i="3" s="1"/>
  <c r="K21" i="3" s="1"/>
  <c r="J30" i="3"/>
  <c r="N12" i="2" s="1"/>
  <c r="J32" i="3"/>
  <c r="H16" i="3" s="1"/>
  <c r="H17" i="3" s="1"/>
  <c r="N16" i="2" s="1"/>
  <c r="N6" i="2" l="1"/>
</calcChain>
</file>

<file path=xl/sharedStrings.xml><?xml version="1.0" encoding="utf-8"?>
<sst xmlns="http://schemas.openxmlformats.org/spreadsheetml/2006/main" count="382" uniqueCount="167">
  <si>
    <t>Holiday BTL</t>
  </si>
  <si>
    <r>
      <rPr>
        <b/>
        <sz val="18"/>
        <color rgb="FFCC0099"/>
        <rFont val="Gotham"/>
      </rPr>
      <t>Vernon Building Society - BTL ICR Calculator</t>
    </r>
    <r>
      <rPr>
        <b/>
        <sz val="12"/>
        <color rgb="FFCC0099"/>
        <rFont val="Gotham"/>
      </rPr>
      <t xml:space="preserve">
</t>
    </r>
    <r>
      <rPr>
        <u/>
        <sz val="10"/>
        <rFont val="Gotham"/>
      </rPr>
      <t>Please scroll to the bottom of the form to ensure all fields are completed</t>
    </r>
    <r>
      <rPr>
        <b/>
        <sz val="12"/>
        <color rgb="FFCC0099"/>
        <rFont val="Gotham"/>
      </rPr>
      <t xml:space="preserve">
</t>
    </r>
    <r>
      <rPr>
        <sz val="8"/>
        <color theme="0" tint="-0.499984740745262"/>
        <rFont val="Gotham"/>
      </rPr>
      <t>The calculator should be used in Excel 365 or &gt;2016</t>
    </r>
  </si>
  <si>
    <t/>
  </si>
  <si>
    <t>Applicant(s) Name</t>
  </si>
  <si>
    <t>BTL Type</t>
  </si>
  <si>
    <t>Mortgage Requested £</t>
  </si>
  <si>
    <t>Property Value</t>
  </si>
  <si>
    <t>Product Rate %</t>
  </si>
  <si>
    <t>Calculated ICR</t>
  </si>
  <si>
    <t>Product Fee to be added</t>
  </si>
  <si>
    <t>Loan to Value</t>
  </si>
  <si>
    <t>Gross Annual Rental Income</t>
  </si>
  <si>
    <t>No. of properties in portfolio</t>
  </si>
  <si>
    <t>Maximum Loan</t>
  </si>
  <si>
    <t>(Including current application)</t>
  </si>
  <si>
    <t>Stressed Rate</t>
  </si>
  <si>
    <t>Holiday Let Rental Income</t>
  </si>
  <si>
    <t>Rental Demand Period</t>
  </si>
  <si>
    <t>Weekly Rental Price</t>
  </si>
  <si>
    <t>No. of Weeks</t>
  </si>
  <si>
    <t>Occupancy Rate</t>
  </si>
  <si>
    <t>High</t>
  </si>
  <si>
    <t xml:space="preserve">Medium </t>
  </si>
  <si>
    <t>Low</t>
  </si>
  <si>
    <t>Annual Rental Income</t>
  </si>
  <si>
    <t>Personal BTL Only</t>
  </si>
  <si>
    <t>Applicant 1 Personal Income Tax Band</t>
  </si>
  <si>
    <t>Applicant 2 Personal Income Tax Band</t>
  </si>
  <si>
    <t>Number of applicants assessed</t>
  </si>
  <si>
    <t xml:space="preserve">Property Portfolio 
</t>
  </si>
  <si>
    <t>#</t>
  </si>
  <si>
    <t>Mortgage Balance</t>
  </si>
  <si>
    <t>Mortgage Payment PM</t>
  </si>
  <si>
    <t>Annual Rent</t>
  </si>
  <si>
    <t>*</t>
  </si>
  <si>
    <t>ICR</t>
  </si>
  <si>
    <t>Higher rate</t>
  </si>
  <si>
    <t>Product Rate</t>
  </si>
  <si>
    <t>5yr fixed floor</t>
  </si>
  <si>
    <t>Stressed Rate Used</t>
  </si>
  <si>
    <t>5yr fixed used?</t>
  </si>
  <si>
    <t>BTL - Limited Company</t>
  </si>
  <si>
    <t>BTL - Personal</t>
  </si>
  <si>
    <t>BTL - Limited Company (HMO)</t>
  </si>
  <si>
    <t>BTL - Personal (HMO)</t>
  </si>
  <si>
    <t>Holiday - Limited Company</t>
  </si>
  <si>
    <t>Holiday - Personal</t>
  </si>
  <si>
    <t>Type</t>
  </si>
  <si>
    <t>Basic Rate / Limited Co</t>
  </si>
  <si>
    <t>Higher Rate Tax Payer</t>
  </si>
  <si>
    <t>Basic</t>
  </si>
  <si>
    <t>Higher</t>
  </si>
  <si>
    <t>Holiday Let</t>
  </si>
  <si>
    <t>Rental Income Used</t>
  </si>
  <si>
    <t>ICR USED</t>
  </si>
  <si>
    <t>Max Loan</t>
  </si>
  <si>
    <t>Loan Requested</t>
  </si>
  <si>
    <t>ICR %</t>
  </si>
  <si>
    <t>Tax Rate</t>
  </si>
  <si>
    <t>5yr Product Selected</t>
  </si>
  <si>
    <t>5 Year Fixed</t>
  </si>
  <si>
    <t>5yr Discount used?</t>
  </si>
  <si>
    <t>%</t>
  </si>
  <si>
    <t>ICR Calculation</t>
  </si>
  <si>
    <t>Portfolio Type</t>
  </si>
  <si>
    <t>Holiday</t>
  </si>
  <si>
    <t>HMO</t>
  </si>
  <si>
    <t>Rental Income</t>
  </si>
  <si>
    <t>Property</t>
  </si>
  <si>
    <t>Application</t>
  </si>
  <si>
    <t>Loan £</t>
  </si>
  <si>
    <t>Income £</t>
  </si>
  <si>
    <t>Stressed Rate %</t>
  </si>
  <si>
    <t>Portfolio 1</t>
  </si>
  <si>
    <t>Portfolio 2</t>
  </si>
  <si>
    <t>Portfolio 3</t>
  </si>
  <si>
    <t>Portfolio 4</t>
  </si>
  <si>
    <t>Property Type</t>
  </si>
  <si>
    <t>ICR Required</t>
  </si>
  <si>
    <t>Rental Required</t>
  </si>
  <si>
    <t>Total</t>
  </si>
  <si>
    <t>100% ICR</t>
  </si>
  <si>
    <t>Actual ICR%</t>
  </si>
  <si>
    <t>Difference</t>
  </si>
  <si>
    <t>Portfolio</t>
  </si>
  <si>
    <t>Individual ICR</t>
  </si>
  <si>
    <t>Application Max</t>
  </si>
  <si>
    <t>Portfolio Max</t>
  </si>
  <si>
    <t>ICR Used %</t>
  </si>
  <si>
    <t>Tax Position</t>
  </si>
  <si>
    <t>Rental Income Required</t>
  </si>
  <si>
    <t>Top Slicing required pm</t>
  </si>
  <si>
    <t>Top Slicing (Single Property)</t>
  </si>
  <si>
    <t>Top Slicing Required PM</t>
  </si>
  <si>
    <t>Decision</t>
  </si>
  <si>
    <t>Portfolio % Below ICR</t>
  </si>
  <si>
    <t>Payment at stressed rate</t>
  </si>
  <si>
    <t>Top Slicing (Portfolio)</t>
  </si>
  <si>
    <t>BTL - Personal (Basic Tax)</t>
  </si>
  <si>
    <t>BTL - Personal (Higher Tax)</t>
  </si>
  <si>
    <t>Justification</t>
  </si>
  <si>
    <t>Minimum ICR</t>
  </si>
  <si>
    <t>Minimum Industry Standard Threshold</t>
  </si>
  <si>
    <t>BTL - Personal (HMO) (Basic Tax)</t>
  </si>
  <si>
    <t>BTL - Personal (HMO) (Higher Tax)</t>
  </si>
  <si>
    <t>It is anticpated that these properties will be rented on Assured Shorthold Tenancy Agreements inclusive of bills. The applicant will therefore be responsible for any running costs for the property. 
150% ICR includes letting fees (15%), Maintenance (15%), Running Costs (20%).</t>
  </si>
  <si>
    <t>It is anticpated that these properties will be rented on Assured Shorthold Tenancy Agreements inclusive of bills. The applicant will therefore be responsible for any running costs for the property. 
150% ICR includes letting fees (15%), Maintenance (15%), Running Costs (20%). Typically tax liabilities are low for basic rate tax payers.</t>
  </si>
  <si>
    <t>It is anticpated that properties will be rented for approximately 30 weeks on individual weekly lets. The applicants will be responsible for the running costs of the property.
145% ICR includes letting fees (20%), Maintenance and Running costs (25%).</t>
  </si>
  <si>
    <t>N/A</t>
  </si>
  <si>
    <t>Accuracy Check</t>
  </si>
  <si>
    <t>Tax App 1</t>
  </si>
  <si>
    <t>Tax App 2</t>
  </si>
  <si>
    <t>High Rent (HBTL)</t>
  </si>
  <si>
    <t>Medium Rent (HBTL)</t>
  </si>
  <si>
    <t>Low Rent (HBTL)</t>
  </si>
  <si>
    <t>Property 1</t>
  </si>
  <si>
    <t>Property 2</t>
  </si>
  <si>
    <t>Property 3</t>
  </si>
  <si>
    <t>Property 4</t>
  </si>
  <si>
    <t>Issues</t>
  </si>
  <si>
    <t>Holiday Let 12 weeks - Underwriter Only</t>
  </si>
  <si>
    <t>Weeks to be used</t>
  </si>
  <si>
    <t>Password</t>
  </si>
  <si>
    <t xml:space="preserve">Weeks </t>
  </si>
  <si>
    <t>Interest Rate Required</t>
  </si>
  <si>
    <t>Weeks Used</t>
  </si>
  <si>
    <t>Exception Required</t>
  </si>
  <si>
    <t>Y</t>
  </si>
  <si>
    <t>Property Portfolio</t>
  </si>
  <si>
    <t>Personal BTL</t>
  </si>
  <si>
    <t>Properties in portfolio</t>
  </si>
  <si>
    <t>Vern0n</t>
  </si>
  <si>
    <t>Fixed rate ICR</t>
  </si>
  <si>
    <t>Completed by (VBS staff)</t>
  </si>
  <si>
    <t xml:space="preserve">Minimum Industry Standard Threshold + 5% buffer
It is anticpated that these properties will be rented on Assured Shorthold Tenancy Agreements whereby tenants will cover the running costs of the property. 
125% ICR includes letting fees (15%), Maintenance and tax (10%). </t>
  </si>
  <si>
    <t>Minimum Industry Standard Threshold + 5% buffer
It is anticpated that these properties will be rented on Assured Shorthold Tenancy Agreements whereby tenants will cover the running costs of the property. 
125% ICR includes letting fees (15%), Maintenance and tax (10%). Typically tax liabilities are low for basic rate tax payers</t>
  </si>
  <si>
    <t>It is anticpated that these properties will be rented on Assured Shorthold Tenancy Agreements whereby tenants will cover the running costs of the property. 
140% ICR includes letting fees (15%), Maintenance (10%), Tax (15%).</t>
  </si>
  <si>
    <t>It is anticpated that these properties will be rented on Assured Shorthold Tenancy Agreements whereby tenants will cover the running costs of the property. 
170% ICR includes letting fees (15%), Maintenance (15%), Running Costs (20%), Tax (additional 15%)</t>
  </si>
  <si>
    <t>HMO Higher rate</t>
  </si>
  <si>
    <t>BTL - Expat</t>
  </si>
  <si>
    <t>Product Rate + 2%</t>
  </si>
  <si>
    <t>Holiday BTL Higher Rate</t>
  </si>
  <si>
    <t>Please include properties owned in the personal name and/or Ltd Co for the applicant.</t>
  </si>
  <si>
    <t>Version 8.0 - November 2025</t>
  </si>
  <si>
    <t>Expat</t>
  </si>
  <si>
    <t>Holiday - Personal (Basic tax)</t>
  </si>
  <si>
    <t>It is anticpated that properties will be rented for approximately 30 weeks on individual weekly lets. The applicants will be responsible for the running costs of the property.
145% ICR includes letting fees (20%), Maintenance and Running costs (25%). Typically tax liabilities are low for basic rate tax payers.</t>
  </si>
  <si>
    <t>It is anticpated that properties will be rented for approximately 30 weeks on individual weekly lets. The applicants will be responsible for the running costs of the property.
160% ICR includes letting fees (20%), Maintenance and Running costs (25%). Tax (15%).</t>
  </si>
  <si>
    <t>Expatriate - Personal and Ltd Co</t>
  </si>
  <si>
    <t>Criteria Aligned to % for a Personal – Higher Rate Taxpayer for both forms of lending.</t>
  </si>
  <si>
    <t>Portfolios with over 4 properties assessed seperately - please provide a portfolio schedule</t>
  </si>
  <si>
    <t>Standard</t>
  </si>
  <si>
    <t>Ltd Co</t>
  </si>
  <si>
    <t>Product Selected</t>
  </si>
  <si>
    <t>Product</t>
  </si>
  <si>
    <t>Other</t>
  </si>
  <si>
    <t>BTL - Expat (inc Ltd Co)</t>
  </si>
  <si>
    <r>
      <t>Product Fee Amount</t>
    </r>
    <r>
      <rPr>
        <b/>
        <sz val="8"/>
        <color theme="1"/>
        <rFont val="Gotham"/>
      </rPr>
      <t xml:space="preserve"> (if added)</t>
    </r>
  </si>
  <si>
    <t>Holiday - Personal (Higher tax)</t>
  </si>
  <si>
    <t>No</t>
  </si>
  <si>
    <t>N</t>
  </si>
  <si>
    <t>Mortgage Amount Missing -</t>
  </si>
  <si>
    <t>Product Type Missing -</t>
  </si>
  <si>
    <t>Property Value Missing -</t>
  </si>
  <si>
    <t>Holiday Let Income Missing -</t>
  </si>
  <si>
    <t>Portfolio Details Missing -</t>
  </si>
  <si>
    <t xml:space="preserve">Mortgage Amount Missing -  Product Type Missing -    Mortgage Amount Missing -  Property Value Missing -          Holiday Let Income Missing -  Holiday Let Income Missing -  Holiday Let Income Missing -  Portfolio Details Missing -  Portfolio Details Missing -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</si>
</sst>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£&quot;#,##0.00"/>
    <numFmt numFmtId="165" formatCode="0.0%"/>
    <numFmt numFmtId="166" formatCode="&quot;£&quot;#,##0"/>
    <numFmt numFmtId="167" formatCode="0.000%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Gotham"/>
    </font>
    <font>
      <b/>
      <sz val="10"/>
      <color theme="1"/>
      <name val="Gotham"/>
    </font>
    <font>
      <sz val="10"/>
      <name val="Gotham"/>
    </font>
    <font>
      <b/>
      <sz val="12"/>
      <color rgb="FFCC0099"/>
      <name val="Gotham"/>
    </font>
    <font>
      <b/>
      <sz val="18"/>
      <color rgb="FFCC0099"/>
      <name val="Gotham"/>
    </font>
    <font>
      <u/>
      <sz val="10"/>
      <name val="Gotham"/>
    </font>
    <font>
      <sz val="8"/>
      <color theme="0" tint="-0.499984740745262"/>
      <name val="Gotham"/>
    </font>
    <font>
      <b/>
      <sz val="10"/>
      <name val="Gotham"/>
    </font>
    <font>
      <b/>
      <sz val="10"/>
      <color rgb="FFFF0000"/>
      <name val="Gotham"/>
    </font>
    <font>
      <sz val="8"/>
      <color theme="1"/>
      <name val="Gotham"/>
    </font>
    <font>
      <sz val="9"/>
      <color theme="1"/>
      <name val="Gotham"/>
    </font>
    <font>
      <i/>
      <sz val="9"/>
      <name val="Gotham"/>
    </font>
    <font>
      <b/>
      <sz val="11"/>
      <color rgb="FFCC0099"/>
      <name val="Gotham"/>
    </font>
    <font>
      <b/>
      <sz val="8"/>
      <name val="Gotham"/>
    </font>
    <font>
      <b/>
      <sz val="10"/>
      <color theme="0" tint="-0.14999847407452621"/>
      <name val="Gotham"/>
    </font>
    <font>
      <sz val="10"/>
      <color theme="0" tint="-0.14999847407452621"/>
      <name val="Gotham"/>
    </font>
    <font>
      <sz val="10"/>
      <color theme="0"/>
      <name val="Gotham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Gotham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9" fontId="21" fillId="0" borderId="0" applyFont="0" applyFill="0" applyBorder="0" applyAlignment="0" applyProtection="0"/>
  </cellStyleXfs>
  <cellXfs count="233">
    <xf numFmtId="0" fontId="0" fillId="0" borderId="0" xfId="0"/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5" fillId="2" borderId="0" xfId="0" applyFont="1" applyFill="1" applyProtection="1">
      <protection hidden="1"/>
    </xf>
    <xf numFmtId="0" fontId="3" fillId="0" borderId="0" xfId="0" applyFont="1" applyAlignment="1" applyProtection="1">
      <alignment horizontal="left" vertical="center"/>
      <protection hidden="1"/>
    </xf>
    <xf numFmtId="0" fontId="3" fillId="0" borderId="2" xfId="0" applyFont="1" applyBorder="1" applyAlignment="1" applyProtection="1">
      <alignment horizontal="left" vertical="center"/>
      <protection hidden="1"/>
    </xf>
    <xf numFmtId="0" fontId="3" fillId="0" borderId="3" xfId="0" applyFont="1" applyBorder="1" applyAlignment="1" applyProtection="1">
      <alignment horizontal="left" vertical="center"/>
      <protection hidden="1"/>
    </xf>
    <xf numFmtId="0" fontId="10" fillId="0" borderId="3" xfId="0" applyFont="1" applyBorder="1" applyAlignment="1" applyProtection="1">
      <alignment horizontal="left" vertical="center"/>
      <protection hidden="1"/>
    </xf>
    <xf numFmtId="0" fontId="10" fillId="0" borderId="4" xfId="0" applyFont="1" applyBorder="1" applyAlignment="1" applyProtection="1">
      <alignment horizontal="left" vertical="center"/>
      <protection hidden="1"/>
    </xf>
    <xf numFmtId="0" fontId="10" fillId="2" borderId="0" xfId="0" applyFont="1" applyFill="1" applyAlignment="1" applyProtection="1">
      <alignment horizontal="left" vertical="center"/>
      <protection hidden="1"/>
    </xf>
    <xf numFmtId="0" fontId="3" fillId="0" borderId="5" xfId="0" applyFont="1" applyBorder="1" applyAlignment="1" applyProtection="1">
      <alignment horizontal="left" vertical="center"/>
      <protection hidden="1"/>
    </xf>
    <xf numFmtId="0" fontId="3" fillId="3" borderId="6" xfId="0" applyFont="1" applyFill="1" applyBorder="1" applyAlignment="1" applyProtection="1">
      <alignment horizontal="left" vertical="center"/>
      <protection hidden="1"/>
    </xf>
    <xf numFmtId="0" fontId="6" fillId="3" borderId="7" xfId="0" applyFont="1" applyFill="1" applyBorder="1" applyAlignment="1" applyProtection="1">
      <alignment horizontal="left" vertical="center" wrapText="1"/>
      <protection hidden="1"/>
    </xf>
    <xf numFmtId="0" fontId="6" fillId="3" borderId="7" xfId="0" applyFont="1" applyFill="1" applyBorder="1" applyAlignment="1" applyProtection="1">
      <alignment horizontal="left" vertical="center"/>
      <protection hidden="1"/>
    </xf>
    <xf numFmtId="0" fontId="10" fillId="3" borderId="8" xfId="0" applyFont="1" applyFill="1" applyBorder="1" applyAlignment="1" applyProtection="1">
      <alignment horizontal="left" vertical="center"/>
      <protection hidden="1"/>
    </xf>
    <xf numFmtId="0" fontId="10" fillId="0" borderId="9" xfId="0" applyFont="1" applyBorder="1" applyAlignment="1" applyProtection="1">
      <alignment horizontal="left" vertical="center"/>
      <protection hidden="1"/>
    </xf>
    <xf numFmtId="0" fontId="10" fillId="0" borderId="0" xfId="0" applyFont="1" applyAlignment="1" applyProtection="1">
      <alignment horizontal="left" vertical="center"/>
      <protection hidden="1"/>
    </xf>
    <xf numFmtId="0" fontId="3" fillId="0" borderId="5" xfId="0" applyFont="1" applyBorder="1" applyProtection="1">
      <protection hidden="1"/>
    </xf>
    <xf numFmtId="0" fontId="3" fillId="3" borderId="10" xfId="0" applyFont="1" applyFill="1" applyBorder="1" applyProtection="1">
      <protection hidden="1"/>
    </xf>
    <xf numFmtId="0" fontId="10" fillId="3" borderId="14" xfId="0" applyFont="1" applyFill="1" applyBorder="1" applyAlignment="1" applyProtection="1">
      <alignment horizontal="left" vertical="center"/>
      <protection hidden="1"/>
    </xf>
    <xf numFmtId="0" fontId="5" fillId="3" borderId="14" xfId="0" applyFont="1" applyFill="1" applyBorder="1" applyProtection="1">
      <protection hidden="1"/>
    </xf>
    <xf numFmtId="0" fontId="5" fillId="0" borderId="9" xfId="0" applyFont="1" applyBorder="1" applyProtection="1">
      <protection hidden="1"/>
    </xf>
    <xf numFmtId="164" fontId="3" fillId="0" borderId="1" xfId="0" applyNumberFormat="1" applyFont="1" applyBorder="1" applyAlignment="1" applyProtection="1">
      <alignment horizontal="center" vertical="center"/>
      <protection locked="0"/>
    </xf>
    <xf numFmtId="0" fontId="10" fillId="3" borderId="14" xfId="0" applyFont="1" applyFill="1" applyBorder="1" applyAlignment="1" applyProtection="1">
      <alignment horizontal="center"/>
      <protection hidden="1"/>
    </xf>
    <xf numFmtId="0" fontId="10" fillId="0" borderId="9" xfId="0" applyFont="1" applyBorder="1" applyAlignment="1" applyProtection="1">
      <alignment horizontal="center"/>
      <protection hidden="1"/>
    </xf>
    <xf numFmtId="0" fontId="10" fillId="2" borderId="0" xfId="0" applyFont="1" applyFill="1" applyAlignment="1" applyProtection="1">
      <alignment horizontal="center"/>
      <protection hidden="1"/>
    </xf>
    <xf numFmtId="0" fontId="3" fillId="3" borderId="15" xfId="0" applyFont="1" applyFill="1" applyBorder="1" applyProtection="1">
      <protection hidden="1"/>
    </xf>
    <xf numFmtId="0" fontId="4" fillId="3" borderId="16" xfId="0" applyFont="1" applyFill="1" applyBorder="1" applyProtection="1">
      <protection hidden="1"/>
    </xf>
    <xf numFmtId="0" fontId="3" fillId="3" borderId="16" xfId="0" applyFont="1" applyFill="1" applyBorder="1" applyAlignment="1" applyProtection="1">
      <alignment horizontal="center"/>
      <protection hidden="1"/>
    </xf>
    <xf numFmtId="0" fontId="3" fillId="3" borderId="16" xfId="0" applyFont="1" applyFill="1" applyBorder="1" applyProtection="1">
      <protection hidden="1"/>
    </xf>
    <xf numFmtId="0" fontId="10" fillId="0" borderId="0" xfId="0" applyFont="1" applyAlignment="1" applyProtection="1">
      <alignment horizontal="center"/>
      <protection hidden="1"/>
    </xf>
    <xf numFmtId="0" fontId="4" fillId="3" borderId="0" xfId="0" applyFont="1" applyFill="1" applyAlignment="1" applyProtection="1">
      <alignment horizontal="left"/>
      <protection hidden="1"/>
    </xf>
    <xf numFmtId="0" fontId="4" fillId="3" borderId="0" xfId="0" applyFont="1" applyFill="1" applyProtection="1">
      <protection hidden="1"/>
    </xf>
    <xf numFmtId="0" fontId="3" fillId="3" borderId="0" xfId="0" applyFont="1" applyFill="1" applyProtection="1">
      <protection hidden="1"/>
    </xf>
    <xf numFmtId="0" fontId="3" fillId="3" borderId="0" xfId="0" applyFont="1" applyFill="1" applyAlignment="1" applyProtection="1">
      <alignment vertical="center"/>
      <protection hidden="1"/>
    </xf>
    <xf numFmtId="0" fontId="4" fillId="3" borderId="0" xfId="0" applyFont="1" applyFill="1" applyAlignment="1" applyProtection="1">
      <alignment vertical="center"/>
      <protection hidden="1"/>
    </xf>
    <xf numFmtId="0" fontId="12" fillId="3" borderId="0" xfId="0" applyFont="1" applyFill="1" applyProtection="1">
      <protection hidden="1"/>
    </xf>
    <xf numFmtId="0" fontId="3" fillId="3" borderId="0" xfId="0" applyFont="1" applyFill="1" applyAlignment="1" applyProtection="1">
      <alignment horizontal="center"/>
      <protection hidden="1"/>
    </xf>
    <xf numFmtId="164" fontId="3" fillId="3" borderId="0" xfId="0" applyNumberFormat="1" applyFont="1" applyFill="1" applyProtection="1">
      <protection hidden="1"/>
    </xf>
    <xf numFmtId="0" fontId="3" fillId="0" borderId="18" xfId="0" applyFont="1" applyBorder="1" applyProtection="1">
      <protection hidden="1"/>
    </xf>
    <xf numFmtId="10" fontId="12" fillId="0" borderId="19" xfId="0" applyNumberFormat="1" applyFont="1" applyBorder="1" applyAlignment="1" applyProtection="1">
      <alignment horizontal="center"/>
      <protection hidden="1"/>
    </xf>
    <xf numFmtId="0" fontId="3" fillId="0" borderId="19" xfId="0" applyFont="1" applyBorder="1" applyProtection="1">
      <protection hidden="1"/>
    </xf>
    <xf numFmtId="0" fontId="10" fillId="0" borderId="20" xfId="0" applyFont="1" applyBorder="1" applyAlignment="1" applyProtection="1">
      <alignment horizontal="center"/>
      <protection hidden="1"/>
    </xf>
    <xf numFmtId="0" fontId="15" fillId="0" borderId="21" xfId="0" applyFont="1" applyBorder="1" applyAlignment="1" applyProtection="1">
      <alignment vertical="center"/>
      <protection hidden="1"/>
    </xf>
    <xf numFmtId="0" fontId="15" fillId="0" borderId="22" xfId="0" applyFont="1" applyBorder="1" applyAlignment="1" applyProtection="1">
      <alignment vertical="center"/>
      <protection hidden="1"/>
    </xf>
    <xf numFmtId="0" fontId="15" fillId="0" borderId="23" xfId="0" applyFont="1" applyBorder="1" applyAlignment="1" applyProtection="1">
      <alignment vertical="center"/>
      <protection hidden="1"/>
    </xf>
    <xf numFmtId="0" fontId="15" fillId="0" borderId="9" xfId="0" applyFont="1" applyBorder="1" applyAlignment="1" applyProtection="1">
      <alignment horizontal="left" vertical="center" indent="3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10" fillId="0" borderId="24" xfId="0" applyFont="1" applyBorder="1" applyAlignment="1" applyProtection="1">
      <alignment horizontal="center" vertical="center"/>
      <protection hidden="1"/>
    </xf>
    <xf numFmtId="0" fontId="10" fillId="3" borderId="1" xfId="0" applyFont="1" applyFill="1" applyBorder="1" applyAlignment="1" applyProtection="1">
      <alignment horizontal="center" vertical="center"/>
      <protection hidden="1"/>
    </xf>
    <xf numFmtId="164" fontId="10" fillId="3" borderId="1" xfId="0" applyNumberFormat="1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3" fillId="0" borderId="5" xfId="0" applyFont="1" applyBorder="1" applyAlignment="1" applyProtection="1">
      <alignment vertical="center"/>
      <protection hidden="1"/>
    </xf>
    <xf numFmtId="0" fontId="3" fillId="3" borderId="15" xfId="0" applyFont="1" applyFill="1" applyBorder="1" applyAlignment="1" applyProtection="1">
      <alignment vertical="center"/>
      <protection hidden="1"/>
    </xf>
    <xf numFmtId="164" fontId="3" fillId="3" borderId="16" xfId="0" applyNumberFormat="1" applyFont="1" applyFill="1" applyBorder="1" applyAlignment="1" applyProtection="1">
      <alignment vertical="center"/>
      <protection hidden="1"/>
    </xf>
    <xf numFmtId="0" fontId="10" fillId="3" borderId="17" xfId="0" applyFont="1" applyFill="1" applyBorder="1" applyAlignment="1" applyProtection="1">
      <alignment horizontal="center" vertical="center"/>
      <protection hidden="1"/>
    </xf>
    <xf numFmtId="0" fontId="10" fillId="0" borderId="9" xfId="0" applyFont="1" applyBorder="1" applyAlignment="1" applyProtection="1">
      <alignment horizontal="center" vertical="center"/>
      <protection hidden="1"/>
    </xf>
    <xf numFmtId="0" fontId="10" fillId="2" borderId="0" xfId="0" applyFont="1" applyFill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horizontal="center" wrapText="1"/>
      <protection hidden="1"/>
    </xf>
    <xf numFmtId="0" fontId="3" fillId="0" borderId="2" xfId="0" applyFont="1" applyBorder="1" applyProtection="1">
      <protection hidden="1"/>
    </xf>
    <xf numFmtId="0" fontId="3" fillId="0" borderId="3" xfId="0" applyFont="1" applyBorder="1" applyProtection="1">
      <protection hidden="1"/>
    </xf>
    <xf numFmtId="0" fontId="2" fillId="0" borderId="3" xfId="1" applyFill="1" applyBorder="1" applyAlignment="1" applyProtection="1">
      <alignment horizontal="center" vertical="center"/>
      <protection hidden="1"/>
    </xf>
    <xf numFmtId="0" fontId="10" fillId="0" borderId="3" xfId="0" applyFont="1" applyBorder="1" applyAlignment="1" applyProtection="1">
      <alignment horizontal="center"/>
      <protection hidden="1"/>
    </xf>
    <xf numFmtId="0" fontId="10" fillId="0" borderId="4" xfId="0" applyFont="1" applyBorder="1" applyAlignment="1" applyProtection="1">
      <alignment horizontal="center"/>
      <protection hidden="1"/>
    </xf>
    <xf numFmtId="0" fontId="17" fillId="3" borderId="0" xfId="0" applyFont="1" applyFill="1" applyAlignment="1" applyProtection="1">
      <alignment vertical="center"/>
      <protection hidden="1"/>
    </xf>
    <xf numFmtId="0" fontId="17" fillId="3" borderId="0" xfId="0" applyFont="1" applyFill="1" applyAlignment="1" applyProtection="1">
      <alignment horizontal="center" vertical="center"/>
      <protection hidden="1"/>
    </xf>
    <xf numFmtId="0" fontId="18" fillId="3" borderId="0" xfId="0" applyFont="1" applyFill="1" applyAlignment="1" applyProtection="1">
      <alignment horizontal="center" vertical="center"/>
      <protection hidden="1"/>
    </xf>
    <xf numFmtId="165" fontId="18" fillId="3" borderId="0" xfId="0" applyNumberFormat="1" applyFont="1" applyFill="1" applyAlignment="1" applyProtection="1">
      <alignment horizontal="center" vertical="center" wrapText="1"/>
      <protection hidden="1"/>
    </xf>
    <xf numFmtId="166" fontId="17" fillId="3" borderId="0" xfId="0" applyNumberFormat="1" applyFont="1" applyFill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horizontal="center"/>
      <protection hidden="1"/>
    </xf>
    <xf numFmtId="10" fontId="12" fillId="0" borderId="0" xfId="0" applyNumberFormat="1" applyFont="1" applyAlignment="1" applyProtection="1">
      <alignment horizont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5" fillId="3" borderId="17" xfId="0" applyFont="1" applyFill="1" applyBorder="1" applyProtection="1"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3" fillId="3" borderId="0" xfId="0" applyFont="1" applyFill="1" applyAlignment="1" applyProtection="1">
      <alignment horizontal="center" vertical="center" wrapText="1"/>
      <protection hidden="1"/>
    </xf>
    <xf numFmtId="0" fontId="5" fillId="0" borderId="19" xfId="0" applyFont="1" applyBorder="1" applyProtection="1">
      <protection hidden="1"/>
    </xf>
    <xf numFmtId="0" fontId="5" fillId="0" borderId="20" xfId="0" applyFont="1" applyBorder="1" applyProtection="1">
      <protection hidden="1"/>
    </xf>
    <xf numFmtId="0" fontId="15" fillId="0" borderId="6" xfId="0" applyFont="1" applyBorder="1" applyAlignment="1" applyProtection="1">
      <alignment vertical="center" readingOrder="1"/>
      <protection hidden="1"/>
    </xf>
    <xf numFmtId="0" fontId="15" fillId="0" borderId="7" xfId="0" applyFont="1" applyBorder="1" applyAlignment="1" applyProtection="1">
      <alignment vertical="center" readingOrder="1"/>
      <protection hidden="1"/>
    </xf>
    <xf numFmtId="0" fontId="10" fillId="0" borderId="8" xfId="0" applyFont="1" applyBorder="1" applyAlignment="1" applyProtection="1">
      <alignment horizontal="center"/>
      <protection hidden="1"/>
    </xf>
    <xf numFmtId="0" fontId="4" fillId="0" borderId="5" xfId="0" applyFont="1" applyBorder="1" applyAlignment="1" applyProtection="1">
      <alignment horizontal="center" vertical="center"/>
      <protection hidden="1"/>
    </xf>
    <xf numFmtId="0" fontId="4" fillId="0" borderId="25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164" fontId="4" fillId="0" borderId="1" xfId="0" applyNumberFormat="1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10" fillId="3" borderId="14" xfId="0" applyFont="1" applyFill="1" applyBorder="1" applyAlignment="1" applyProtection="1">
      <alignment horizontal="center" vertical="center"/>
      <protection hidden="1"/>
    </xf>
    <xf numFmtId="0" fontId="4" fillId="0" borderId="25" xfId="0" applyFont="1" applyBorder="1" applyAlignment="1" applyProtection="1">
      <alignment horizontal="center"/>
      <protection hidden="1"/>
    </xf>
    <xf numFmtId="0" fontId="4" fillId="3" borderId="10" xfId="0" applyFont="1" applyFill="1" applyBorder="1" applyAlignment="1" applyProtection="1">
      <alignment horizontal="right"/>
      <protection hidden="1"/>
    </xf>
    <xf numFmtId="0" fontId="4" fillId="3" borderId="15" xfId="0" applyFont="1" applyFill="1" applyBorder="1" applyAlignment="1" applyProtection="1">
      <alignment horizontal="right"/>
      <protection hidden="1"/>
    </xf>
    <xf numFmtId="0" fontId="19" fillId="3" borderId="16" xfId="0" applyFont="1" applyFill="1" applyBorder="1" applyProtection="1">
      <protection hidden="1"/>
    </xf>
    <xf numFmtId="0" fontId="19" fillId="0" borderId="19" xfId="0" applyFont="1" applyBorder="1" applyProtection="1">
      <protection hidden="1"/>
    </xf>
    <xf numFmtId="0" fontId="16" fillId="0" borderId="7" xfId="0" applyFont="1" applyBorder="1" applyAlignment="1" applyProtection="1">
      <alignment horizontal="center" vertical="center"/>
      <protection hidden="1"/>
    </xf>
    <xf numFmtId="0" fontId="4" fillId="3" borderId="10" xfId="0" applyFont="1" applyFill="1" applyBorder="1" applyAlignment="1" applyProtection="1">
      <alignment horizontal="center" vertical="center"/>
      <protection hidden="1"/>
    </xf>
    <xf numFmtId="0" fontId="3" fillId="3" borderId="16" xfId="0" applyFont="1" applyFill="1" applyBorder="1" applyAlignment="1" applyProtection="1">
      <alignment horizontal="left" indent="2"/>
      <protection hidden="1"/>
    </xf>
    <xf numFmtId="10" fontId="19" fillId="3" borderId="0" xfId="0" applyNumberFormat="1" applyFont="1" applyFill="1" applyAlignment="1" applyProtection="1">
      <alignment horizontal="center"/>
      <protection hidden="1"/>
    </xf>
    <xf numFmtId="0" fontId="4" fillId="3" borderId="0" xfId="0" applyFont="1" applyFill="1" applyAlignment="1" applyProtection="1">
      <alignment horizontal="center" vertical="center"/>
      <protection hidden="1"/>
    </xf>
    <xf numFmtId="0" fontId="3" fillId="3" borderId="0" xfId="0" applyFont="1" applyFill="1" applyAlignment="1" applyProtection="1">
      <alignment horizontal="left" indent="2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13" fillId="3" borderId="16" xfId="0" applyFont="1" applyFill="1" applyBorder="1" applyAlignment="1" applyProtection="1">
      <alignment vertical="top"/>
      <protection hidden="1"/>
    </xf>
    <xf numFmtId="0" fontId="10" fillId="0" borderId="19" xfId="0" applyFont="1" applyBorder="1" applyAlignment="1" applyProtection="1">
      <alignment horizontal="center"/>
      <protection hidden="1"/>
    </xf>
    <xf numFmtId="0" fontId="1" fillId="3" borderId="1" xfId="0" applyFont="1" applyFill="1" applyBorder="1" applyAlignment="1">
      <alignment horizontal="center" vertical="center"/>
    </xf>
    <xf numFmtId="0" fontId="14" fillId="0" borderId="0" xfId="0" applyFont="1" applyAlignment="1" applyProtection="1">
      <alignment wrapText="1"/>
      <protection hidden="1"/>
    </xf>
    <xf numFmtId="164" fontId="10" fillId="0" borderId="26" xfId="0" applyNumberFormat="1" applyFont="1" applyBorder="1" applyAlignment="1" applyProtection="1">
      <alignment horizontal="center"/>
      <protection hidden="1"/>
    </xf>
    <xf numFmtId="9" fontId="10" fillId="0" borderId="26" xfId="0" applyNumberFormat="1" applyFont="1" applyBorder="1" applyAlignment="1" applyProtection="1">
      <alignment horizontal="center"/>
      <protection hidden="1"/>
    </xf>
    <xf numFmtId="165" fontId="10" fillId="0" borderId="26" xfId="0" applyNumberFormat="1" applyFont="1" applyBorder="1" applyAlignment="1" applyProtection="1">
      <alignment horizontal="center"/>
      <protection hidden="1"/>
    </xf>
    <xf numFmtId="0" fontId="10" fillId="0" borderId="21" xfId="0" applyFont="1" applyBorder="1" applyAlignment="1" applyProtection="1">
      <alignment horizontal="center" vertical="center"/>
      <protection hidden="1"/>
    </xf>
    <xf numFmtId="0" fontId="10" fillId="0" borderId="26" xfId="0" applyFont="1" applyBorder="1" applyAlignment="1" applyProtection="1">
      <alignment horizontal="center"/>
      <protection hidden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9" fontId="0" fillId="0" borderId="1" xfId="0" applyNumberFormat="1" applyBorder="1" applyAlignment="1">
      <alignment horizontal="center" vertical="top"/>
    </xf>
    <xf numFmtId="9" fontId="0" fillId="5" borderId="1" xfId="0" applyNumberFormat="1" applyFill="1" applyBorder="1" applyAlignment="1">
      <alignment horizontal="center" vertical="top"/>
    </xf>
    <xf numFmtId="0" fontId="0" fillId="0" borderId="0" xfId="0" applyAlignment="1">
      <alignment vertical="top"/>
    </xf>
    <xf numFmtId="0" fontId="5" fillId="0" borderId="0" xfId="0" applyFont="1" applyAlignment="1" applyProtection="1">
      <alignment vertical="center" wrapText="1"/>
      <protection hidden="1"/>
    </xf>
    <xf numFmtId="0" fontId="3" fillId="3" borderId="1" xfId="0" applyFont="1" applyFill="1" applyBorder="1" applyAlignment="1" applyProtection="1">
      <alignment horizontal="left"/>
      <protection hidden="1"/>
    </xf>
    <xf numFmtId="0" fontId="3" fillId="3" borderId="1" xfId="0" applyFont="1" applyFill="1" applyBorder="1" applyProtection="1">
      <protection hidden="1"/>
    </xf>
    <xf numFmtId="164" fontId="5" fillId="0" borderId="0" xfId="0" applyNumberFormat="1" applyFont="1" applyAlignment="1" applyProtection="1">
      <alignment vertical="center" wrapText="1"/>
      <protection hidden="1"/>
    </xf>
    <xf numFmtId="10" fontId="5" fillId="0" borderId="0" xfId="0" applyNumberFormat="1" applyFont="1" applyAlignment="1" applyProtection="1">
      <alignment vertical="center" wrapText="1"/>
      <protection hidden="1"/>
    </xf>
    <xf numFmtId="0" fontId="11" fillId="3" borderId="0" xfId="0" applyFont="1" applyFill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4" fillId="3" borderId="0" xfId="0" applyFont="1" applyFill="1" applyAlignment="1" applyProtection="1">
      <alignment horizontal="center" vertical="center" wrapText="1"/>
      <protection hidden="1"/>
    </xf>
    <xf numFmtId="166" fontId="3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12" fillId="3" borderId="0" xfId="0" applyFont="1" applyFill="1" applyAlignment="1" applyProtection="1">
      <alignment horizontal="left" vertical="center"/>
      <protection hidden="1"/>
    </xf>
    <xf numFmtId="0" fontId="0" fillId="0" borderId="19" xfId="0" applyBorder="1" applyProtection="1">
      <protection hidden="1"/>
    </xf>
    <xf numFmtId="0" fontId="0" fillId="0" borderId="18" xfId="0" applyBorder="1" applyProtection="1">
      <protection hidden="1"/>
    </xf>
    <xf numFmtId="0" fontId="0" fillId="0" borderId="20" xfId="0" applyBorder="1" applyProtection="1">
      <protection hidden="1"/>
    </xf>
    <xf numFmtId="0" fontId="0" fillId="0" borderId="2" xfId="0" applyBorder="1" applyProtection="1">
      <protection hidden="1"/>
    </xf>
    <xf numFmtId="0" fontId="0" fillId="0" borderId="3" xfId="0" applyBorder="1" applyProtection="1">
      <protection hidden="1"/>
    </xf>
    <xf numFmtId="0" fontId="0" fillId="0" borderId="4" xfId="0" applyBorder="1" applyProtection="1">
      <protection hidden="1"/>
    </xf>
    <xf numFmtId="0" fontId="0" fillId="0" borderId="5" xfId="0" applyBorder="1" applyProtection="1">
      <protection hidden="1"/>
    </xf>
    <xf numFmtId="0" fontId="0" fillId="0" borderId="9" xfId="0" applyBorder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12" fillId="0" borderId="1" xfId="0" applyFont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0" borderId="1" xfId="0" applyNumberFormat="1" applyFont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166" fontId="10" fillId="0" borderId="23" xfId="0" applyNumberFormat="1" applyFont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3" borderId="11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9" fontId="0" fillId="5" borderId="1" xfId="0" applyNumberFormat="1" applyFill="1" applyBorder="1" applyAlignment="1" applyProtection="1">
      <alignment horizontal="center"/>
      <protection hidden="1"/>
    </xf>
    <xf numFmtId="0" fontId="0" fillId="0" borderId="11" xfId="0" applyBorder="1" applyAlignment="1" applyProtection="1">
      <alignment horizontal="center"/>
      <protection hidden="1"/>
    </xf>
    <xf numFmtId="0" fontId="0" fillId="0" borderId="1" xfId="0" applyBorder="1" applyProtection="1">
      <protection hidden="1"/>
    </xf>
    <xf numFmtId="10" fontId="0" fillId="5" borderId="1" xfId="0" applyNumberFormat="1" applyFill="1" applyBorder="1" applyAlignment="1" applyProtection="1">
      <alignment horizontal="center"/>
      <protection hidden="1"/>
    </xf>
    <xf numFmtId="0" fontId="1" fillId="0" borderId="1" xfId="0" applyFont="1" applyBorder="1" applyProtection="1">
      <protection hidden="1"/>
    </xf>
    <xf numFmtId="164" fontId="0" fillId="0" borderId="1" xfId="0" applyNumberFormat="1" applyBorder="1" applyAlignment="1" applyProtection="1">
      <alignment horizontal="center"/>
      <protection hidden="1"/>
    </xf>
    <xf numFmtId="10" fontId="0" fillId="0" borderId="1" xfId="0" applyNumberFormat="1" applyBorder="1" applyAlignment="1" applyProtection="1">
      <alignment horizontal="center"/>
      <protection hidden="1"/>
    </xf>
    <xf numFmtId="0" fontId="1" fillId="6" borderId="1" xfId="0" applyFont="1" applyFill="1" applyBorder="1" applyProtection="1">
      <protection hidden="1"/>
    </xf>
    <xf numFmtId="9" fontId="0" fillId="6" borderId="1" xfId="0" applyNumberFormat="1" applyFill="1" applyBorder="1" applyAlignment="1" applyProtection="1">
      <alignment horizontal="center"/>
      <protection hidden="1"/>
    </xf>
    <xf numFmtId="164" fontId="1" fillId="6" borderId="1" xfId="0" applyNumberFormat="1" applyFont="1" applyFill="1" applyBorder="1" applyAlignment="1" applyProtection="1">
      <alignment horizontal="center"/>
      <protection hidden="1"/>
    </xf>
    <xf numFmtId="1" fontId="0" fillId="0" borderId="1" xfId="0" applyNumberFormat="1" applyBorder="1" applyAlignment="1" applyProtection="1">
      <alignment horizontal="center"/>
      <protection hidden="1"/>
    </xf>
    <xf numFmtId="10" fontId="1" fillId="6" borderId="1" xfId="0" applyNumberFormat="1" applyFont="1" applyFill="1" applyBorder="1" applyAlignment="1" applyProtection="1">
      <alignment horizontal="center"/>
      <protection hidden="1"/>
    </xf>
    <xf numFmtId="0" fontId="0" fillId="0" borderId="24" xfId="0" applyBorder="1" applyProtection="1">
      <protection hidden="1"/>
    </xf>
    <xf numFmtId="164" fontId="0" fillId="0" borderId="24" xfId="0" applyNumberFormat="1" applyBorder="1" applyAlignment="1" applyProtection="1">
      <alignment horizontal="center"/>
      <protection hidden="1"/>
    </xf>
    <xf numFmtId="10" fontId="1" fillId="0" borderId="1" xfId="0" applyNumberFormat="1" applyFont="1" applyBorder="1" applyAlignment="1" applyProtection="1">
      <alignment horizontal="center"/>
      <protection hidden="1"/>
    </xf>
    <xf numFmtId="0" fontId="1" fillId="0" borderId="3" xfId="0" applyFont="1" applyBorder="1" applyProtection="1">
      <protection hidden="1"/>
    </xf>
    <xf numFmtId="165" fontId="0" fillId="0" borderId="3" xfId="0" applyNumberFormat="1" applyBorder="1" applyAlignment="1" applyProtection="1">
      <alignment horizontal="center"/>
      <protection hidden="1"/>
    </xf>
    <xf numFmtId="0" fontId="1" fillId="3" borderId="1" xfId="0" applyFont="1" applyFill="1" applyBorder="1" applyProtection="1">
      <protection hidden="1"/>
    </xf>
    <xf numFmtId="164" fontId="1" fillId="3" borderId="1" xfId="0" applyNumberFormat="1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9" fontId="0" fillId="0" borderId="1" xfId="0" applyNumberFormat="1" applyBorder="1" applyAlignment="1" applyProtection="1">
      <alignment horizontal="center"/>
      <protection hidden="1"/>
    </xf>
    <xf numFmtId="165" fontId="0" fillId="0" borderId="1" xfId="0" applyNumberFormat="1" applyBorder="1" applyAlignment="1" applyProtection="1">
      <alignment horizontal="center"/>
      <protection hidden="1"/>
    </xf>
    <xf numFmtId="164" fontId="1" fillId="0" borderId="1" xfId="0" applyNumberFormat="1" applyFont="1" applyBorder="1" applyAlignment="1" applyProtection="1">
      <alignment horizontal="center"/>
      <protection hidden="1"/>
    </xf>
    <xf numFmtId="0" fontId="1" fillId="6" borderId="1" xfId="0" applyFont="1" applyFill="1" applyBorder="1" applyAlignment="1" applyProtection="1">
      <alignment horizontal="center"/>
      <protection hidden="1"/>
    </xf>
    <xf numFmtId="164" fontId="0" fillId="6" borderId="1" xfId="0" applyNumberForma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/>
      <protection hidden="1"/>
    </xf>
    <xf numFmtId="0" fontId="0" fillId="3" borderId="1" xfId="0" applyFill="1" applyBorder="1" applyProtection="1">
      <protection hidden="1"/>
    </xf>
    <xf numFmtId="0" fontId="0" fillId="0" borderId="1" xfId="0" applyBorder="1" applyAlignment="1" applyProtection="1">
      <alignment horizontal="center" vertical="top"/>
      <protection hidden="1"/>
    </xf>
    <xf numFmtId="0" fontId="1" fillId="5" borderId="21" xfId="0" applyFont="1" applyFill="1" applyBorder="1" applyProtection="1">
      <protection hidden="1"/>
    </xf>
    <xf numFmtId="0" fontId="0" fillId="7" borderId="1" xfId="0" applyFill="1" applyBorder="1" applyAlignment="1" applyProtection="1">
      <alignment horizontal="center"/>
      <protection hidden="1"/>
    </xf>
    <xf numFmtId="9" fontId="0" fillId="0" borderId="0" xfId="0" applyNumberFormat="1" applyProtection="1">
      <protection hidden="1"/>
    </xf>
    <xf numFmtId="10" fontId="0" fillId="6" borderId="1" xfId="0" applyNumberFormat="1" applyFill="1" applyBorder="1" applyAlignment="1" applyProtection="1">
      <alignment horizontal="center"/>
      <protection hidden="1"/>
    </xf>
    <xf numFmtId="167" fontId="10" fillId="0" borderId="26" xfId="0" applyNumberFormat="1" applyFont="1" applyBorder="1" applyAlignment="1" applyProtection="1">
      <alignment horizontal="center"/>
      <protection hidden="1"/>
    </xf>
    <xf numFmtId="9" fontId="0" fillId="0" borderId="0" xfId="0" applyNumberFormat="1" applyAlignment="1" applyProtection="1">
      <alignment horizontal="right"/>
      <protection hidden="1"/>
    </xf>
    <xf numFmtId="0" fontId="1" fillId="0" borderId="23" xfId="0" applyFont="1" applyBorder="1" applyAlignment="1" applyProtection="1">
      <alignment horizontal="center"/>
      <protection hidden="1"/>
    </xf>
    <xf numFmtId="10" fontId="3" fillId="0" borderId="1" xfId="2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top" wrapText="1"/>
    </xf>
    <xf numFmtId="0" fontId="24" fillId="2" borderId="0" xfId="0" applyFont="1" applyFill="1" applyProtection="1">
      <protection hidden="1"/>
    </xf>
    <xf numFmtId="0" fontId="24" fillId="2" borderId="0" xfId="0" applyFont="1" applyFill="1" applyAlignment="1" applyProtection="1">
      <alignment horizontal="center"/>
      <protection hidden="1"/>
    </xf>
    <xf numFmtId="0" fontId="24" fillId="2" borderId="0" xfId="0" applyFont="1" applyFill="1" applyAlignment="1" applyProtection="1">
      <alignment horizontal="center"/>
      <protection locked="0"/>
    </xf>
    <xf numFmtId="0" fontId="23" fillId="2" borderId="0" xfId="0" applyFont="1" applyFill="1" applyAlignment="1" applyProtection="1">
      <alignment horizontal="center" vertical="center"/>
      <protection hidden="1"/>
    </xf>
    <xf numFmtId="9" fontId="24" fillId="2" borderId="0" xfId="0" applyNumberFormat="1" applyFont="1" applyFill="1" applyAlignment="1" applyProtection="1">
      <alignment horizontal="center"/>
      <protection hidden="1"/>
    </xf>
    <xf numFmtId="9" fontId="24" fillId="2" borderId="0" xfId="0" applyNumberFormat="1" applyFont="1" applyFill="1" applyProtection="1">
      <protection hidden="1"/>
    </xf>
    <xf numFmtId="9" fontId="24" fillId="2" borderId="0" xfId="0" applyNumberFormat="1" applyFont="1" applyFill="1" applyAlignment="1" applyProtection="1">
      <alignment horizontal="right"/>
      <protection hidden="1"/>
    </xf>
    <xf numFmtId="0" fontId="23" fillId="2" borderId="0" xfId="0" applyFont="1" applyFill="1" applyAlignment="1" applyProtection="1">
      <alignment horizontal="center"/>
      <protection hidden="1"/>
    </xf>
    <xf numFmtId="10" fontId="24" fillId="2" borderId="0" xfId="0" applyNumberFormat="1" applyFont="1" applyFill="1" applyAlignment="1" applyProtection="1">
      <alignment horizontal="center"/>
      <protection hidden="1"/>
    </xf>
    <xf numFmtId="1" fontId="24" fillId="2" borderId="0" xfId="0" applyNumberFormat="1" applyFont="1" applyFill="1" applyAlignment="1" applyProtection="1">
      <alignment horizontal="center"/>
      <protection hidden="1"/>
    </xf>
    <xf numFmtId="0" fontId="23" fillId="2" borderId="0" xfId="0" applyFont="1" applyFill="1" applyProtection="1">
      <protection hidden="1"/>
    </xf>
    <xf numFmtId="10" fontId="23" fillId="2" borderId="0" xfId="0" applyNumberFormat="1" applyFont="1" applyFill="1" applyAlignment="1" applyProtection="1">
      <alignment horizontal="center"/>
      <protection hidden="1"/>
    </xf>
    <xf numFmtId="0" fontId="19" fillId="2" borderId="0" xfId="0" applyFont="1" applyFill="1" applyAlignment="1" applyProtection="1">
      <alignment horizontal="left"/>
      <protection hidden="1"/>
    </xf>
    <xf numFmtId="0" fontId="19" fillId="2" borderId="0" xfId="0" applyFont="1" applyFill="1" applyProtection="1">
      <protection hidden="1"/>
    </xf>
    <xf numFmtId="0" fontId="24" fillId="2" borderId="0" xfId="0" applyFont="1" applyFill="1" applyAlignment="1" applyProtection="1">
      <alignment horizontal="left"/>
      <protection hidden="1"/>
    </xf>
    <xf numFmtId="0" fontId="24" fillId="2" borderId="0" xfId="0" applyFont="1" applyFill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13" fillId="0" borderId="19" xfId="0" applyFont="1" applyBorder="1" applyAlignment="1" applyProtection="1">
      <alignment horizontal="center"/>
      <protection hidden="1"/>
    </xf>
    <xf numFmtId="0" fontId="5" fillId="3" borderId="16" xfId="0" applyFont="1" applyFill="1" applyBorder="1" applyAlignment="1" applyProtection="1">
      <alignment horizontal="left" vertical="center" wrapText="1"/>
      <protection hidden="1"/>
    </xf>
    <xf numFmtId="0" fontId="16" fillId="2" borderId="22" xfId="0" applyFont="1" applyFill="1" applyBorder="1" applyAlignment="1" applyProtection="1">
      <alignment horizontal="center" vertical="center"/>
      <protection hidden="1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Alignment="1" applyProtection="1">
      <alignment horizontal="center" vertical="center" wrapText="1"/>
      <protection hidden="1"/>
    </xf>
    <xf numFmtId="164" fontId="10" fillId="3" borderId="0" xfId="0" applyNumberFormat="1" applyFont="1" applyFill="1" applyAlignment="1" applyProtection="1">
      <alignment horizontal="center" vertical="center" wrapText="1"/>
      <protection hidden="1"/>
    </xf>
    <xf numFmtId="0" fontId="23" fillId="2" borderId="0" xfId="0" applyFont="1" applyFill="1" applyAlignment="1" applyProtection="1">
      <alignment horizontal="left"/>
      <protection hidden="1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166" fontId="3" fillId="0" borderId="13" xfId="0" applyNumberFormat="1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left" vertical="center" wrapText="1"/>
      <protection hidden="1"/>
    </xf>
    <xf numFmtId="0" fontId="6" fillId="0" borderId="3" xfId="0" applyFont="1" applyBorder="1" applyAlignment="1" applyProtection="1">
      <alignment horizontal="left" vertical="center"/>
      <protection hidden="1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11" fillId="3" borderId="0" xfId="0" applyFont="1" applyFill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10" fontId="3" fillId="0" borderId="11" xfId="0" applyNumberFormat="1" applyFont="1" applyBorder="1" applyAlignment="1" applyProtection="1">
      <alignment horizontal="center" vertical="center"/>
      <protection locked="0"/>
    </xf>
    <xf numFmtId="10" fontId="3" fillId="0" borderId="13" xfId="0" applyNumberFormat="1" applyFont="1" applyBorder="1" applyAlignment="1" applyProtection="1">
      <alignment horizontal="center" vertical="center"/>
      <protection locked="0"/>
    </xf>
    <xf numFmtId="165" fontId="3" fillId="4" borderId="0" xfId="0" applyNumberFormat="1" applyFont="1" applyFill="1" applyAlignment="1" applyProtection="1">
      <alignment horizontal="center" vertical="center"/>
      <protection hidden="1"/>
    </xf>
    <xf numFmtId="1" fontId="3" fillId="0" borderId="11" xfId="0" applyNumberFormat="1" applyFont="1" applyBorder="1" applyAlignment="1" applyProtection="1">
      <alignment horizontal="center" vertical="center"/>
      <protection locked="0"/>
    </xf>
    <xf numFmtId="1" fontId="3" fillId="0" borderId="13" xfId="0" applyNumberFormat="1" applyFont="1" applyBorder="1" applyAlignment="1" applyProtection="1">
      <alignment horizontal="center" vertical="center"/>
      <protection locked="0"/>
    </xf>
    <xf numFmtId="9" fontId="12" fillId="0" borderId="19" xfId="0" applyNumberFormat="1" applyFont="1" applyBorder="1" applyAlignment="1" applyProtection="1">
      <alignment horizontal="center" vertical="center"/>
      <protection hidden="1"/>
    </xf>
    <xf numFmtId="0" fontId="12" fillId="0" borderId="19" xfId="0" applyFont="1" applyBorder="1" applyAlignment="1" applyProtection="1">
      <alignment horizontal="center"/>
      <protection hidden="1"/>
    </xf>
    <xf numFmtId="0" fontId="2" fillId="0" borderId="19" xfId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0" borderId="19" xfId="0" applyFont="1" applyBorder="1" applyAlignment="1" applyProtection="1">
      <alignment horizontal="center"/>
      <protection hidden="1"/>
    </xf>
    <xf numFmtId="0" fontId="23" fillId="2" borderId="0" xfId="0" applyFont="1" applyFill="1" applyAlignment="1" applyProtection="1">
      <alignment horizontal="center"/>
      <protection hidden="1"/>
    </xf>
    <xf numFmtId="0" fontId="1" fillId="3" borderId="11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</cellXfs>
  <cellStyles count="3">
    <cellStyle name="Hyperlink" xfId="1" builtinId="8"/>
    <cellStyle name="Normal" xfId="0" builtinId="0"/>
    <cellStyle name="Percent" xfId="2" builtinId="5"/>
  </cellStyles>
  <dxfs count="16"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color theme="0" tint="-0.14996795556505021"/>
      </font>
      <fill>
        <patternFill>
          <bgColor theme="0" tint="-0.14996795556505021"/>
        </patternFill>
      </fill>
      <border>
        <right/>
        <top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right/>
        <top/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1971675</xdr:colOff>
      <xdr:row>1</xdr:row>
      <xdr:rowOff>38101</xdr:rowOff>
    </xdr:from>
    <xdr:to>
      <xdr:col>9</xdr:col>
      <xdr:colOff>16511</xdr:colOff>
      <xdr:row>1</xdr:row>
      <xdr:rowOff>800100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B08B03-5434-4411-B544-317A197E3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247651"/>
          <a:ext cx="2041526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B5551-C4CA-43C3-9A41-999E4568C821}">
  <dimension ref="A1:P71"/>
  <sheetViews>
    <sheetView showGridLines="0" showRowColHeaders="0" tabSelected="1" zoomScaleNormal="100" workbookViewId="0">
      <selection activeCell="N14" sqref="N14"/>
    </sheetView>
  </sheetViews>
  <sheetFormatPr defaultColWidth="9.140625" defaultRowHeight="15" x14ac:dyDescent="0.25"/>
  <cols>
    <col min="1" max="1" width="2.7109375" style="126" customWidth="1"/>
    <col min="2" max="2" width="2.140625" style="126" customWidth="1"/>
    <col min="3" max="3" width="7.28515625" style="126" customWidth="1"/>
    <col min="4" max="4" width="28.42578125" style="126" bestFit="1" customWidth="1"/>
    <col min="5" max="5" width="26.85546875" style="126" customWidth="1"/>
    <col min="6" max="6" width="14.42578125" style="126" customWidth="1"/>
    <col min="7" max="7" width="31.28515625" style="126" bestFit="1" customWidth="1"/>
    <col min="8" max="8" width="9.140625" style="126"/>
    <col min="9" max="9" width="19.5703125" style="126" customWidth="1"/>
    <col min="10" max="10" width="2.42578125" style="126" customWidth="1"/>
    <col min="11" max="11" width="2.140625" style="126" customWidth="1"/>
    <col min="12" max="12" width="3" style="126" customWidth="1"/>
    <col min="13" max="13" width="26.5703125" style="126" customWidth="1"/>
    <col min="14" max="14" width="27.5703125" style="126" customWidth="1"/>
    <col min="15" max="16384" width="9.140625" style="126"/>
  </cols>
  <sheetData>
    <row r="1" spans="1:16" x14ac:dyDescent="0.25">
      <c r="A1" s="1"/>
      <c r="B1" s="1"/>
      <c r="C1" s="1"/>
      <c r="D1" s="2"/>
      <c r="E1" s="1"/>
      <c r="F1" s="1"/>
      <c r="G1" s="2"/>
      <c r="H1" s="2"/>
      <c r="I1" s="1"/>
      <c r="J1" s="3"/>
      <c r="K1" s="3"/>
      <c r="L1" s="4"/>
      <c r="M1" s="3"/>
      <c r="O1" s="1"/>
      <c r="P1" s="1"/>
    </row>
    <row r="2" spans="1:16" ht="70.5" customHeight="1" thickBot="1" x14ac:dyDescent="0.3">
      <c r="A2" s="5"/>
      <c r="B2" s="6"/>
      <c r="C2" s="7"/>
      <c r="D2" s="212" t="s">
        <v>1</v>
      </c>
      <c r="E2" s="213"/>
      <c r="F2" s="213"/>
      <c r="G2" s="213"/>
      <c r="H2" s="213"/>
      <c r="I2" s="213"/>
      <c r="J2" s="8"/>
      <c r="K2" s="9"/>
      <c r="L2" s="10"/>
      <c r="M2" s="201"/>
      <c r="N2" s="201"/>
      <c r="O2" s="5"/>
      <c r="P2" s="5"/>
    </row>
    <row r="3" spans="1:16" x14ac:dyDescent="0.25">
      <c r="A3" s="5"/>
      <c r="B3" s="11"/>
      <c r="C3" s="12"/>
      <c r="D3" s="13"/>
      <c r="E3" s="14"/>
      <c r="F3" s="14"/>
      <c r="G3" s="14"/>
      <c r="H3" s="14"/>
      <c r="I3" s="14"/>
      <c r="J3" s="15"/>
      <c r="K3" s="16"/>
      <c r="L3" s="10"/>
      <c r="M3" s="17"/>
      <c r="N3" s="17"/>
      <c r="O3" s="5"/>
      <c r="P3" s="5"/>
    </row>
    <row r="4" spans="1:16" x14ac:dyDescent="0.25">
      <c r="A4" s="1"/>
      <c r="B4" s="18"/>
      <c r="C4" s="19"/>
      <c r="D4" s="32" t="s">
        <v>3</v>
      </c>
      <c r="E4" s="214"/>
      <c r="F4" s="215"/>
      <c r="G4" s="216"/>
      <c r="H4" s="217"/>
      <c r="I4" s="217"/>
      <c r="J4" s="20"/>
      <c r="K4" s="16"/>
      <c r="L4" s="10"/>
      <c r="M4" s="218"/>
      <c r="N4" s="218"/>
      <c r="O4" s="1"/>
      <c r="P4" s="1"/>
    </row>
    <row r="5" spans="1:16" ht="6.75" customHeight="1" thickBot="1" x14ac:dyDescent="0.3">
      <c r="A5" s="1"/>
      <c r="B5" s="18"/>
      <c r="C5" s="19"/>
      <c r="D5" s="33"/>
      <c r="E5" s="34"/>
      <c r="F5" s="34"/>
      <c r="G5" s="34"/>
      <c r="H5" s="34"/>
      <c r="I5" s="34"/>
      <c r="J5" s="21"/>
      <c r="K5" s="22"/>
      <c r="L5" s="4"/>
      <c r="M5" s="3"/>
      <c r="N5" s="3"/>
      <c r="O5" s="1"/>
      <c r="P5" s="1"/>
    </row>
    <row r="6" spans="1:16" ht="15.75" thickBot="1" x14ac:dyDescent="0.3">
      <c r="A6" s="1"/>
      <c r="B6" s="18"/>
      <c r="C6" s="19"/>
      <c r="D6" s="33" t="s">
        <v>4</v>
      </c>
      <c r="E6" s="137"/>
      <c r="F6" s="35"/>
      <c r="G6" s="36" t="s">
        <v>133</v>
      </c>
      <c r="H6" s="210"/>
      <c r="I6" s="211"/>
      <c r="J6" s="20"/>
      <c r="K6" s="16"/>
      <c r="L6" s="10"/>
      <c r="M6" s="31" t="s">
        <v>94</v>
      </c>
      <c r="N6" s="109" t="str">
        <f>IF(Admin!C54&gt;0,"Info Required",
IF(AND(Admin!B25="Y",N10&lt;N8),"ICR Fail",
IF(N10&lt;N8,"Refer to discuss top-slicing",
IF(AND(Admin!B25="Y",N12&lt;0),"Portfolio ICR Fail",
IF(N12&lt;0,"Refer to discuss top-slicing",
"Pass")))))</f>
        <v>Info Required</v>
      </c>
      <c r="O6" s="1"/>
      <c r="P6" s="1"/>
    </row>
    <row r="7" spans="1:16" ht="6.75" customHeight="1" thickBot="1" x14ac:dyDescent="0.3">
      <c r="A7" s="1"/>
      <c r="B7" s="18"/>
      <c r="C7" s="19"/>
      <c r="D7" s="33"/>
      <c r="E7" s="127"/>
      <c r="F7" s="35"/>
      <c r="G7" s="36"/>
      <c r="H7" s="122"/>
      <c r="I7" s="122"/>
      <c r="J7" s="20"/>
      <c r="K7" s="16"/>
      <c r="L7" s="10"/>
      <c r="M7" s="123"/>
      <c r="N7" s="123"/>
      <c r="O7" s="1"/>
      <c r="P7" s="1"/>
    </row>
    <row r="8" spans="1:16" ht="15.75" thickBot="1" x14ac:dyDescent="0.3">
      <c r="A8" s="1"/>
      <c r="B8" s="18"/>
      <c r="C8" s="19"/>
      <c r="D8" s="33" t="s">
        <v>5</v>
      </c>
      <c r="E8" s="125"/>
      <c r="F8" s="34"/>
      <c r="G8" s="33" t="s">
        <v>6</v>
      </c>
      <c r="H8" s="210"/>
      <c r="I8" s="211"/>
      <c r="J8" s="20"/>
      <c r="K8" s="16"/>
      <c r="L8" s="10"/>
      <c r="M8" s="31" t="s">
        <v>88</v>
      </c>
      <c r="N8" s="106" t="str">
        <f>IFERROR(Admin!E15,"")</f>
        <v/>
      </c>
      <c r="O8" s="1"/>
      <c r="P8" s="1"/>
    </row>
    <row r="9" spans="1:16" ht="6.75" customHeight="1" thickBot="1" x14ac:dyDescent="0.3">
      <c r="A9" s="1"/>
      <c r="B9" s="18"/>
      <c r="C9" s="19"/>
      <c r="D9" s="33"/>
      <c r="E9" s="34"/>
      <c r="F9" s="37"/>
      <c r="G9" s="34"/>
      <c r="H9" s="34"/>
      <c r="I9" s="34"/>
      <c r="J9" s="21"/>
      <c r="K9" s="22"/>
      <c r="L9" s="4"/>
      <c r="M9" s="3"/>
      <c r="N9" s="3"/>
      <c r="O9" s="1"/>
      <c r="P9" s="1"/>
    </row>
    <row r="10" spans="1:16" ht="15.75" thickBot="1" x14ac:dyDescent="0.3">
      <c r="A10" s="1"/>
      <c r="B10" s="18"/>
      <c r="C10" s="19"/>
      <c r="D10" s="33" t="s">
        <v>153</v>
      </c>
      <c r="E10" s="23"/>
      <c r="F10" s="34"/>
      <c r="G10" s="33" t="s">
        <v>7</v>
      </c>
      <c r="H10" s="219"/>
      <c r="I10" s="220"/>
      <c r="J10" s="24"/>
      <c r="K10" s="25"/>
      <c r="L10" s="26"/>
      <c r="M10" s="99" t="s">
        <v>8</v>
      </c>
      <c r="N10" s="179" t="str">
        <f>IF(Admin!C54&gt;0,"Info Required",Admin!E20)</f>
        <v>Info Required</v>
      </c>
      <c r="O10" s="1"/>
      <c r="P10" s="1"/>
    </row>
    <row r="11" spans="1:16" ht="6.75" customHeight="1" thickBot="1" x14ac:dyDescent="0.3">
      <c r="A11" s="1"/>
      <c r="B11" s="18"/>
      <c r="C11" s="19"/>
      <c r="D11" s="33"/>
      <c r="E11" s="38"/>
      <c r="F11" s="34"/>
      <c r="G11" s="33"/>
      <c r="H11" s="38"/>
      <c r="I11" s="38"/>
      <c r="J11" s="21"/>
      <c r="K11" s="22"/>
      <c r="L11" s="4"/>
      <c r="M11" s="100"/>
      <c r="N11" s="3"/>
      <c r="O11" s="1"/>
      <c r="P11" s="1"/>
    </row>
    <row r="12" spans="1:16" ht="15.75" thickBot="1" x14ac:dyDescent="0.3">
      <c r="A12" s="1"/>
      <c r="B12" s="18"/>
      <c r="C12" s="19"/>
      <c r="D12" s="33" t="s">
        <v>157</v>
      </c>
      <c r="E12" s="125"/>
      <c r="F12" s="34"/>
      <c r="G12" s="33" t="s">
        <v>10</v>
      </c>
      <c r="H12" s="221" t="str">
        <f>IFERROR(E8/H8,"")</f>
        <v/>
      </c>
      <c r="I12" s="221"/>
      <c r="J12" s="24"/>
      <c r="K12" s="25"/>
      <c r="L12" s="26"/>
      <c r="M12" s="98" t="s">
        <v>95</v>
      </c>
      <c r="N12" s="107" t="str">
        <f>IF(Admin!C54&gt;0,"Info Required",
IF(Admin!H15="N","N/A",
IF(Admin!J30-Admin!J29&gt;0,"No",Admin!J30-Admin!J29)))</f>
        <v>Info Required</v>
      </c>
      <c r="O12" s="1"/>
      <c r="P12" s="1"/>
    </row>
    <row r="13" spans="1:16" ht="6.75" customHeight="1" thickBot="1" x14ac:dyDescent="0.3">
      <c r="A13" s="1"/>
      <c r="B13" s="18"/>
      <c r="C13" s="19"/>
      <c r="D13" s="33"/>
      <c r="E13" s="38"/>
      <c r="F13" s="34"/>
      <c r="G13" s="33"/>
      <c r="H13" s="38"/>
      <c r="I13" s="38"/>
      <c r="J13" s="21"/>
      <c r="K13" s="22"/>
      <c r="L13" s="4"/>
      <c r="M13" s="100"/>
      <c r="N13" s="3"/>
      <c r="O13" s="1"/>
      <c r="P13" s="1"/>
    </row>
    <row r="14" spans="1:16" ht="15.75" thickBot="1" x14ac:dyDescent="0.3">
      <c r="A14" s="1"/>
      <c r="B14" s="18"/>
      <c r="C14" s="19"/>
      <c r="D14" s="33" t="s">
        <v>11</v>
      </c>
      <c r="E14" s="138"/>
      <c r="F14" s="39"/>
      <c r="G14" s="33" t="s">
        <v>12</v>
      </c>
      <c r="H14" s="222"/>
      <c r="I14" s="223"/>
      <c r="J14" s="24"/>
      <c r="K14" s="25"/>
      <c r="L14" s="26"/>
      <c r="M14" s="98" t="s">
        <v>93</v>
      </c>
      <c r="N14" s="105" t="str">
        <f>IF(AND(Admin!B28&lt;&gt;"Yes"),
IF(Admin!B28="Yes","Not Acceptable",
IFERROR(IF(Admin!K21&gt;0,Admin!K21,""),"")))</f>
        <v/>
      </c>
      <c r="O14" s="1"/>
      <c r="P14" s="1"/>
    </row>
    <row r="15" spans="1:16" ht="17.25" customHeight="1" thickBot="1" x14ac:dyDescent="0.3">
      <c r="A15" s="1"/>
      <c r="B15" s="18"/>
      <c r="C15" s="27"/>
      <c r="D15" s="28"/>
      <c r="E15" s="29"/>
      <c r="F15" s="30"/>
      <c r="G15" s="101" t="s">
        <v>14</v>
      </c>
      <c r="H15" s="29"/>
      <c r="I15" s="29"/>
      <c r="J15" s="73"/>
      <c r="K15" s="22"/>
      <c r="L15" s="4"/>
      <c r="M15" s="100"/>
      <c r="N15" s="3"/>
      <c r="O15" s="1"/>
      <c r="P15" s="1"/>
    </row>
    <row r="16" spans="1:16" ht="15.75" thickBot="1" x14ac:dyDescent="0.3">
      <c r="A16" s="1"/>
      <c r="B16" s="40"/>
      <c r="C16" s="225" t="s">
        <v>15</v>
      </c>
      <c r="D16" s="225"/>
      <c r="E16" s="41">
        <f>Admin!B20</f>
        <v>0.02</v>
      </c>
      <c r="F16" s="42"/>
      <c r="G16" s="128"/>
      <c r="H16" s="224" t="s">
        <v>143</v>
      </c>
      <c r="I16" s="224"/>
      <c r="J16" s="102"/>
      <c r="K16" s="43"/>
      <c r="L16" s="26"/>
      <c r="M16" s="108" t="s">
        <v>13</v>
      </c>
      <c r="N16" s="142" t="str">
        <f>IF(Admin!C54&gt;0,"More info required",ROUNDDOWN(Admin!H17,0))</f>
        <v>More info required</v>
      </c>
      <c r="O16" s="1"/>
      <c r="P16" s="1"/>
    </row>
    <row r="17" spans="1:16" x14ac:dyDescent="0.25">
      <c r="A17" s="1"/>
      <c r="B17" s="1"/>
      <c r="C17" s="70"/>
      <c r="D17" s="70"/>
      <c r="E17" s="71"/>
      <c r="F17" s="1"/>
      <c r="G17" s="2"/>
      <c r="H17" s="2"/>
      <c r="I17" s="1"/>
      <c r="J17" s="31"/>
      <c r="K17" s="31"/>
      <c r="L17" s="26"/>
      <c r="M17" s="104"/>
      <c r="N17" s="104"/>
      <c r="O17" s="1"/>
      <c r="P17" s="1"/>
    </row>
    <row r="18" spans="1:16" s="1" customFormat="1" ht="8.25" customHeight="1" thickBot="1" x14ac:dyDescent="0.25">
      <c r="B18" s="60"/>
      <c r="C18" s="61"/>
      <c r="D18" s="61"/>
      <c r="E18" s="61"/>
      <c r="F18" s="61"/>
      <c r="G18" s="61"/>
      <c r="H18" s="61"/>
      <c r="I18" s="74"/>
      <c r="J18" s="63"/>
      <c r="K18" s="64"/>
      <c r="L18" s="26"/>
      <c r="M18" s="104"/>
      <c r="N18" s="104"/>
    </row>
    <row r="19" spans="1:16" s="52" customFormat="1" ht="25.5" customHeight="1" thickBot="1" x14ac:dyDescent="0.3">
      <c r="B19" s="53"/>
      <c r="C19" s="44" t="s">
        <v>25</v>
      </c>
      <c r="D19" s="45"/>
      <c r="E19" s="45"/>
      <c r="F19" s="45"/>
      <c r="G19" s="45"/>
      <c r="H19" s="204" t="str">
        <f>IFERROR(IF(#REF!="No","NOT APPLICABLE",""),"")</f>
        <v/>
      </c>
      <c r="I19" s="204"/>
      <c r="J19" s="46"/>
      <c r="K19" s="47"/>
      <c r="L19" s="58"/>
      <c r="M19" s="201" t="str">
        <f>IF(E8="","",Admin!D54)</f>
        <v/>
      </c>
      <c r="N19" s="117"/>
    </row>
    <row r="20" spans="1:16" s="1" customFormat="1" ht="6.75" customHeight="1" x14ac:dyDescent="0.2">
      <c r="B20" s="18"/>
      <c r="C20" s="19"/>
      <c r="D20" s="34"/>
      <c r="E20" s="34"/>
      <c r="F20" s="34"/>
      <c r="G20" s="34"/>
      <c r="H20" s="34"/>
      <c r="I20" s="34"/>
      <c r="J20" s="21"/>
      <c r="K20" s="22"/>
      <c r="L20" s="4"/>
      <c r="M20" s="201"/>
      <c r="N20" s="117"/>
    </row>
    <row r="21" spans="1:16" s="1" customFormat="1" ht="37.5" customHeight="1" x14ac:dyDescent="0.2">
      <c r="B21" s="18"/>
      <c r="C21" s="19"/>
      <c r="D21" s="124" t="s">
        <v>26</v>
      </c>
      <c r="E21" s="140"/>
      <c r="F21" s="34"/>
      <c r="G21" s="124" t="s">
        <v>27</v>
      </c>
      <c r="H21" s="205"/>
      <c r="I21" s="206"/>
      <c r="J21" s="24"/>
      <c r="K21" s="25"/>
      <c r="L21" s="26"/>
      <c r="M21" s="201"/>
      <c r="N21" s="120"/>
    </row>
    <row r="22" spans="1:16" s="1" customFormat="1" ht="13.5" customHeight="1" x14ac:dyDescent="0.2">
      <c r="B22" s="18"/>
      <c r="C22" s="19"/>
      <c r="D22" s="75"/>
      <c r="E22" s="34"/>
      <c r="F22" s="34"/>
      <c r="G22" s="75"/>
      <c r="H22" s="38"/>
      <c r="I22" s="38"/>
      <c r="J22" s="24"/>
      <c r="K22" s="25"/>
      <c r="L22" s="26"/>
      <c r="M22" s="201"/>
      <c r="N22" s="121"/>
    </row>
    <row r="23" spans="1:16" s="1" customFormat="1" ht="15" customHeight="1" x14ac:dyDescent="0.2">
      <c r="B23" s="18"/>
      <c r="C23" s="19"/>
      <c r="D23" s="207" t="s">
        <v>28</v>
      </c>
      <c r="E23" s="207"/>
      <c r="F23" s="72" t="str">
        <f>IF(E21="","",IF(H21="",1,IF(H21&lt;&gt;"",2,"")))</f>
        <v/>
      </c>
      <c r="G23" s="75"/>
      <c r="H23" s="38"/>
      <c r="I23" s="38"/>
      <c r="J23" s="24"/>
      <c r="K23" s="25"/>
      <c r="L23" s="26"/>
      <c r="M23" s="201"/>
      <c r="N23" s="117"/>
    </row>
    <row r="24" spans="1:16" s="1" customFormat="1" ht="9.75" customHeight="1" thickBot="1" x14ac:dyDescent="0.25">
      <c r="B24" s="18"/>
      <c r="C24" s="27"/>
      <c r="D24" s="30"/>
      <c r="E24" s="30"/>
      <c r="F24" s="30"/>
      <c r="G24" s="30"/>
      <c r="H24" s="30"/>
      <c r="I24" s="30"/>
      <c r="J24" s="73"/>
      <c r="K24" s="22"/>
      <c r="L24" s="4"/>
      <c r="M24" s="201" t="str">
        <f>IF(Admin!C76&gt;0,Admin!D76,"")</f>
        <v/>
      </c>
      <c r="N24" s="201"/>
    </row>
    <row r="25" spans="1:16" s="1" customFormat="1" ht="8.25" customHeight="1" x14ac:dyDescent="0.2">
      <c r="B25" s="40"/>
      <c r="C25" s="42"/>
      <c r="D25" s="42"/>
      <c r="E25" s="42"/>
      <c r="F25" s="42"/>
      <c r="G25" s="42"/>
      <c r="H25" s="42"/>
      <c r="I25" s="42"/>
      <c r="J25" s="76"/>
      <c r="K25" s="77"/>
      <c r="L25" s="3"/>
      <c r="M25" s="104"/>
      <c r="N25" s="104"/>
    </row>
    <row r="26" spans="1:16" x14ac:dyDescent="0.25">
      <c r="A26" s="1"/>
      <c r="B26" s="1"/>
      <c r="C26" s="1"/>
      <c r="D26" s="226" t="s">
        <v>2</v>
      </c>
      <c r="E26" s="226"/>
      <c r="F26" s="1"/>
      <c r="G26" s="226" t="s">
        <v>2</v>
      </c>
      <c r="H26" s="226"/>
      <c r="I26" s="226"/>
      <c r="J26" s="31"/>
      <c r="K26" s="31"/>
      <c r="L26" s="26"/>
      <c r="M26" s="104"/>
      <c r="N26" s="104"/>
      <c r="O26" s="1"/>
      <c r="P26" s="1"/>
    </row>
    <row r="27" spans="1:16" ht="8.25" customHeight="1" thickBot="1" x14ac:dyDescent="0.3">
      <c r="A27" s="1"/>
      <c r="B27" s="60"/>
      <c r="C27" s="61"/>
      <c r="D27" s="62"/>
      <c r="E27" s="62"/>
      <c r="F27" s="61"/>
      <c r="G27" s="62"/>
      <c r="H27" s="62"/>
      <c r="I27" s="62"/>
      <c r="J27" s="63"/>
      <c r="K27" s="64"/>
      <c r="L27" s="26"/>
      <c r="M27" s="59"/>
      <c r="N27" s="59"/>
      <c r="O27" s="1"/>
      <c r="P27" s="1"/>
    </row>
    <row r="28" spans="1:16" ht="25.5" customHeight="1" thickBot="1" x14ac:dyDescent="0.3">
      <c r="A28" s="1"/>
      <c r="B28" s="18"/>
      <c r="C28" s="44" t="s">
        <v>16</v>
      </c>
      <c r="D28" s="45"/>
      <c r="E28" s="45"/>
      <c r="F28" s="45"/>
      <c r="G28" s="45"/>
      <c r="H28" s="204" t="s">
        <v>2</v>
      </c>
      <c r="I28" s="204"/>
      <c r="J28" s="46"/>
      <c r="K28" s="47"/>
      <c r="L28" s="26"/>
    </row>
    <row r="29" spans="1:16" ht="4.5" customHeight="1" x14ac:dyDescent="0.25">
      <c r="A29" s="1"/>
      <c r="B29" s="18"/>
      <c r="C29" s="19"/>
      <c r="D29" s="34"/>
      <c r="E29" s="34"/>
      <c r="F29" s="34"/>
      <c r="G29" s="34"/>
      <c r="H29" s="34"/>
      <c r="I29" s="34"/>
      <c r="J29" s="21"/>
      <c r="K29" s="22"/>
      <c r="L29" s="4"/>
    </row>
    <row r="30" spans="1:16" x14ac:dyDescent="0.25">
      <c r="A30" s="1"/>
      <c r="B30" s="18"/>
      <c r="C30" s="19"/>
      <c r="D30" s="48" t="s">
        <v>17</v>
      </c>
      <c r="E30" s="48" t="s">
        <v>18</v>
      </c>
      <c r="F30" s="65" t="s">
        <v>19</v>
      </c>
      <c r="G30" s="66" t="s">
        <v>20</v>
      </c>
      <c r="H30" s="208" t="s">
        <v>2</v>
      </c>
      <c r="I30" s="208"/>
      <c r="J30" s="21"/>
      <c r="K30" s="22"/>
      <c r="L30" s="4"/>
    </row>
    <row r="31" spans="1:16" x14ac:dyDescent="0.25">
      <c r="A31" s="1"/>
      <c r="B31" s="18"/>
      <c r="C31" s="19"/>
      <c r="D31" s="48" t="s">
        <v>21</v>
      </c>
      <c r="E31" s="139"/>
      <c r="F31" s="67">
        <v>16</v>
      </c>
      <c r="G31" s="68">
        <v>0.9</v>
      </c>
      <c r="H31" s="208"/>
      <c r="I31" s="208"/>
      <c r="J31" s="24"/>
      <c r="K31" s="25"/>
      <c r="L31" s="26"/>
    </row>
    <row r="32" spans="1:16" x14ac:dyDescent="0.25">
      <c r="A32" s="1"/>
      <c r="B32" s="18"/>
      <c r="C32" s="19"/>
      <c r="D32" s="48" t="s">
        <v>22</v>
      </c>
      <c r="E32" s="139"/>
      <c r="F32" s="67">
        <v>12</v>
      </c>
      <c r="G32" s="68">
        <v>0.8</v>
      </c>
      <c r="H32" s="208"/>
      <c r="I32" s="208"/>
      <c r="J32" s="21"/>
      <c r="K32" s="22"/>
      <c r="L32" s="4"/>
    </row>
    <row r="33" spans="1:12" x14ac:dyDescent="0.25">
      <c r="A33" s="1"/>
      <c r="B33" s="18"/>
      <c r="C33" s="19"/>
      <c r="D33" s="49" t="s">
        <v>23</v>
      </c>
      <c r="E33" s="139"/>
      <c r="F33" s="67">
        <v>24</v>
      </c>
      <c r="G33" s="68">
        <v>0.4</v>
      </c>
      <c r="H33" s="208"/>
      <c r="I33" s="208"/>
      <c r="J33" s="24"/>
      <c r="K33" s="25"/>
      <c r="L33" s="26"/>
    </row>
    <row r="34" spans="1:12" x14ac:dyDescent="0.25">
      <c r="A34" s="1"/>
      <c r="B34" s="18"/>
      <c r="C34" s="19"/>
      <c r="D34" s="50" t="s">
        <v>24</v>
      </c>
      <c r="E34" s="51" t="str">
        <f>IF(OR(E31="",E32="",E33=""),"",(E31*E69)+(E32*E69)+(E33*E69))</f>
        <v/>
      </c>
      <c r="F34" s="66">
        <v>52</v>
      </c>
      <c r="G34" s="69"/>
      <c r="H34" s="208"/>
      <c r="I34" s="208"/>
      <c r="J34" s="24"/>
      <c r="K34" s="25"/>
      <c r="L34" s="26"/>
    </row>
    <row r="35" spans="1:12" ht="7.5" customHeight="1" thickBot="1" x14ac:dyDescent="0.3">
      <c r="A35" s="52"/>
      <c r="B35" s="53"/>
      <c r="C35" s="54"/>
      <c r="D35" s="203"/>
      <c r="E35" s="203"/>
      <c r="F35" s="203"/>
      <c r="G35" s="203"/>
      <c r="H35" s="55"/>
      <c r="I35" s="55"/>
      <c r="J35" s="56"/>
      <c r="K35" s="57"/>
      <c r="L35" s="58"/>
    </row>
    <row r="36" spans="1:12" ht="7.5" customHeight="1" x14ac:dyDescent="0.25">
      <c r="B36" s="129"/>
      <c r="C36" s="128"/>
      <c r="D36" s="128"/>
      <c r="E36" s="128"/>
      <c r="F36" s="128"/>
      <c r="G36" s="128"/>
      <c r="H36" s="128"/>
      <c r="I36" s="128"/>
      <c r="J36" s="128"/>
      <c r="K36" s="130"/>
    </row>
    <row r="38" spans="1:12" ht="12" customHeight="1" thickBot="1" x14ac:dyDescent="0.3">
      <c r="B38" s="131"/>
      <c r="C38" s="132"/>
      <c r="D38" s="132"/>
      <c r="E38" s="132"/>
      <c r="F38" s="132"/>
      <c r="G38" s="132"/>
      <c r="H38" s="132"/>
      <c r="I38" s="132"/>
      <c r="J38" s="132"/>
      <c r="K38" s="133"/>
    </row>
    <row r="39" spans="1:12" ht="25.5" customHeight="1" x14ac:dyDescent="0.25">
      <c r="A39" s="18"/>
      <c r="B39" s="134"/>
      <c r="C39" s="78" t="s">
        <v>29</v>
      </c>
      <c r="D39" s="79"/>
      <c r="E39" s="79"/>
      <c r="F39" s="79"/>
      <c r="G39" s="79"/>
      <c r="H39" s="92" t="str">
        <f>IF(G2=1,"NOT APPLICABLE",IF(G2&gt;=1,"",IF(G2&gt;=5,"Please complete BTL Portfolio Form","")))</f>
        <v/>
      </c>
      <c r="I39" s="92"/>
      <c r="J39" s="80"/>
      <c r="K39" s="135"/>
    </row>
    <row r="40" spans="1:12" x14ac:dyDescent="0.25">
      <c r="A40" s="18"/>
      <c r="B40" s="134"/>
      <c r="C40" s="93"/>
      <c r="D40" s="96"/>
      <c r="E40" s="96"/>
      <c r="F40" s="96"/>
      <c r="G40" s="96"/>
      <c r="H40" s="96"/>
      <c r="I40" s="96"/>
      <c r="J40" s="24"/>
      <c r="K40" s="135"/>
    </row>
    <row r="41" spans="1:12" ht="25.5" x14ac:dyDescent="0.25">
      <c r="A41" s="81"/>
      <c r="B41" s="134"/>
      <c r="C41" s="82" t="s">
        <v>30</v>
      </c>
      <c r="D41" s="83" t="s">
        <v>6</v>
      </c>
      <c r="E41" s="83" t="s">
        <v>31</v>
      </c>
      <c r="F41" s="84" t="s">
        <v>32</v>
      </c>
      <c r="G41" s="83" t="s">
        <v>33</v>
      </c>
      <c r="H41" s="85" t="s">
        <v>47</v>
      </c>
      <c r="I41" s="83" t="s">
        <v>37</v>
      </c>
      <c r="J41" s="86"/>
      <c r="K41" s="135"/>
    </row>
    <row r="42" spans="1:12" x14ac:dyDescent="0.25">
      <c r="A42" s="18"/>
      <c r="B42" s="134"/>
      <c r="C42" s="87">
        <v>1</v>
      </c>
      <c r="D42" s="23"/>
      <c r="E42" s="23"/>
      <c r="F42" s="23"/>
      <c r="G42" s="23"/>
      <c r="H42" s="141"/>
      <c r="I42" s="182"/>
      <c r="J42" s="21"/>
      <c r="K42" s="135"/>
    </row>
    <row r="43" spans="1:12" x14ac:dyDescent="0.25">
      <c r="A43" s="18"/>
      <c r="B43" s="134"/>
      <c r="C43" s="87">
        <v>2</v>
      </c>
      <c r="D43" s="23"/>
      <c r="E43" s="23"/>
      <c r="F43" s="23"/>
      <c r="G43" s="23"/>
      <c r="H43" s="141"/>
      <c r="I43" s="182"/>
      <c r="J43" s="21"/>
      <c r="K43" s="135"/>
    </row>
    <row r="44" spans="1:12" x14ac:dyDescent="0.25">
      <c r="A44" s="18"/>
      <c r="B44" s="134"/>
      <c r="C44" s="87">
        <v>3</v>
      </c>
      <c r="D44" s="23"/>
      <c r="E44" s="23"/>
      <c r="F44" s="23"/>
      <c r="G44" s="23"/>
      <c r="H44" s="141"/>
      <c r="I44" s="182"/>
      <c r="J44" s="21"/>
      <c r="K44" s="135"/>
    </row>
    <row r="45" spans="1:12" x14ac:dyDescent="0.25">
      <c r="A45" s="18"/>
      <c r="B45" s="134"/>
      <c r="C45" s="87">
        <v>4</v>
      </c>
      <c r="D45" s="23"/>
      <c r="E45" s="23"/>
      <c r="F45" s="23"/>
      <c r="G45" s="23"/>
      <c r="H45" s="141"/>
      <c r="I45" s="182"/>
      <c r="J45" s="21"/>
      <c r="K45" s="135"/>
    </row>
    <row r="46" spans="1:12" x14ac:dyDescent="0.25">
      <c r="A46" s="18"/>
      <c r="B46" s="134"/>
      <c r="C46" s="88" t="s">
        <v>34</v>
      </c>
      <c r="D46" s="97" t="s">
        <v>150</v>
      </c>
      <c r="E46" s="97"/>
      <c r="F46" s="97"/>
      <c r="G46" s="97"/>
      <c r="H46" s="97"/>
      <c r="I46" s="95"/>
      <c r="J46" s="21"/>
      <c r="K46" s="135"/>
    </row>
    <row r="47" spans="1:12" ht="15.75" thickBot="1" x14ac:dyDescent="0.3">
      <c r="A47" s="18"/>
      <c r="B47" s="134"/>
      <c r="C47" s="89" t="s">
        <v>34</v>
      </c>
      <c r="D47" s="94" t="s">
        <v>142</v>
      </c>
      <c r="E47" s="94"/>
      <c r="F47" s="94"/>
      <c r="G47" s="94"/>
      <c r="H47" s="94"/>
      <c r="I47" s="90"/>
      <c r="J47" s="73"/>
      <c r="K47" s="135"/>
    </row>
    <row r="48" spans="1:12" ht="8.25" customHeight="1" x14ac:dyDescent="0.25">
      <c r="A48" s="1"/>
      <c r="B48" s="40"/>
      <c r="C48" s="202"/>
      <c r="D48" s="202"/>
      <c r="E48" s="202"/>
      <c r="F48" s="202"/>
      <c r="G48" s="202"/>
      <c r="H48" s="91"/>
      <c r="I48" s="76"/>
      <c r="J48" s="76"/>
      <c r="K48" s="130"/>
    </row>
    <row r="66" spans="4:11" x14ac:dyDescent="0.25">
      <c r="D66" s="209" t="s">
        <v>120</v>
      </c>
      <c r="E66" s="209"/>
      <c r="F66" s="209"/>
      <c r="G66" s="209"/>
      <c r="H66" s="209"/>
      <c r="I66" s="209"/>
      <c r="J66" s="209"/>
      <c r="K66" s="209"/>
    </row>
    <row r="67" spans="4:11" x14ac:dyDescent="0.25">
      <c r="D67" s="184" t="s">
        <v>121</v>
      </c>
      <c r="E67" s="186">
        <v>10</v>
      </c>
      <c r="F67" s="184"/>
      <c r="G67" s="184"/>
      <c r="H67" s="184"/>
      <c r="I67" s="184"/>
      <c r="J67" s="184"/>
      <c r="K67" s="184"/>
    </row>
    <row r="68" spans="4:11" x14ac:dyDescent="0.25">
      <c r="D68" s="184"/>
      <c r="E68" s="186"/>
      <c r="F68" s="184"/>
      <c r="G68" s="184"/>
      <c r="H68" s="184"/>
      <c r="I68" s="184"/>
      <c r="J68" s="184"/>
      <c r="K68" s="184"/>
    </row>
    <row r="69" spans="4:11" ht="20.25" hidden="1" customHeight="1" x14ac:dyDescent="0.25">
      <c r="D69" s="184" t="s">
        <v>125</v>
      </c>
      <c r="E69" s="185">
        <f>IF(E68="Vern0n",E67,10)</f>
        <v>10</v>
      </c>
      <c r="F69" s="184"/>
      <c r="G69" s="184"/>
      <c r="H69" s="184"/>
      <c r="I69" s="184"/>
      <c r="J69" s="184"/>
      <c r="K69" s="184"/>
    </row>
    <row r="70" spans="4:11" hidden="1" x14ac:dyDescent="0.25">
      <c r="D70" s="184" t="s">
        <v>126</v>
      </c>
      <c r="E70" s="185" t="str">
        <f>IF(AND(E67&lt;&gt;"",E68&lt;&gt;""),"Yes","No")</f>
        <v>No</v>
      </c>
      <c r="F70" s="184"/>
      <c r="G70" s="184"/>
      <c r="H70" s="184"/>
      <c r="I70" s="184"/>
      <c r="J70" s="184"/>
      <c r="K70" s="184"/>
    </row>
    <row r="71" spans="4:11" x14ac:dyDescent="0.25">
      <c r="D71" s="184"/>
      <c r="E71" s="184"/>
      <c r="F71" s="184"/>
      <c r="G71" s="184"/>
      <c r="H71" s="184"/>
      <c r="I71" s="184"/>
      <c r="J71" s="184"/>
      <c r="K71" s="184"/>
    </row>
  </sheetData>
  <sheetProtection algorithmName="SHA-512" hashValue="vW+t5nMbNjZV8AlhgvulQ24DIabpFJ1HX7BRlPL1WnVn6nbwMCDeTeEqoSnZuf8RxUvRwYj/lrEzD1JNxTEYew==" saltValue="9sgEFL7EPcUOLSxloews/g==" spinCount="100000" sheet="1" objects="1" scenarios="1"/>
  <mergeCells count="24">
    <mergeCell ref="D66:K66"/>
    <mergeCell ref="H6:I6"/>
    <mergeCell ref="D2:I2"/>
    <mergeCell ref="M2:N2"/>
    <mergeCell ref="E4:G4"/>
    <mergeCell ref="H4:I4"/>
    <mergeCell ref="M4:N4"/>
    <mergeCell ref="H8:I8"/>
    <mergeCell ref="H10:I10"/>
    <mergeCell ref="H12:I12"/>
    <mergeCell ref="H14:I14"/>
    <mergeCell ref="H16:I16"/>
    <mergeCell ref="C16:D16"/>
    <mergeCell ref="D26:E26"/>
    <mergeCell ref="G26:I26"/>
    <mergeCell ref="H28:I28"/>
    <mergeCell ref="M24:N24"/>
    <mergeCell ref="M19:M23"/>
    <mergeCell ref="C48:G48"/>
    <mergeCell ref="D35:G35"/>
    <mergeCell ref="H19:I19"/>
    <mergeCell ref="H21:I21"/>
    <mergeCell ref="D23:E23"/>
    <mergeCell ref="H30:I34"/>
  </mergeCells>
  <conditionalFormatting sqref="C41:H47">
    <cfRule type="expression" dxfId="15" priority="11">
      <formula>$H$16=1</formula>
    </cfRule>
  </conditionalFormatting>
  <conditionalFormatting sqref="D21 F21:I21 D22:I23">
    <cfRule type="expression" dxfId="11" priority="12">
      <formula>$E$22="No"</formula>
    </cfRule>
  </conditionalFormatting>
  <conditionalFormatting sqref="D14:E14">
    <cfRule type="expression" dxfId="9" priority="14">
      <formula>$E$34="Yes"</formula>
    </cfRule>
  </conditionalFormatting>
  <conditionalFormatting sqref="D30:E34">
    <cfRule type="expression" dxfId="8" priority="13">
      <formula>$E$34="No"</formula>
    </cfRule>
  </conditionalFormatting>
  <conditionalFormatting sqref="E21">
    <cfRule type="expression" dxfId="7" priority="10">
      <formula>$E$21="No"</formula>
    </cfRule>
  </conditionalFormatting>
  <conditionalFormatting sqref="I41">
    <cfRule type="expression" dxfId="6" priority="1">
      <formula>$H$16=1</formula>
    </cfRule>
  </conditionalFormatting>
  <conditionalFormatting sqref="N6">
    <cfRule type="cellIs" dxfId="5" priority="6" operator="equal">
      <formula>"Pass"</formula>
    </cfRule>
  </conditionalFormatting>
  <conditionalFormatting sqref="N10">
    <cfRule type="cellIs" dxfId="4" priority="8" operator="lessThan">
      <formula>$N$8</formula>
    </cfRule>
  </conditionalFormatting>
  <conditionalFormatting sqref="N12">
    <cfRule type="cellIs" dxfId="3" priority="7" operator="equal">
      <formula>"Pass"</formula>
    </cfRule>
    <cfRule type="cellIs" dxfId="2" priority="9" operator="lessThan">
      <formula>0</formula>
    </cfRule>
  </conditionalFormatting>
  <dataValidations count="2">
    <dataValidation type="decimal" errorStyle="warning" allowBlank="1" showInputMessage="1" showErrorMessage="1" errorTitle="High LTV" error="Maximum LTV 75%" sqref="H12:I12" xr:uid="{514D5283-8226-46B9-9D74-F5FF4DB8C3FE}">
      <formula1>0.01</formula1>
      <formula2>0.75</formula2>
    </dataValidation>
    <dataValidation type="decimal" allowBlank="1" showInputMessage="1" showErrorMessage="1" sqref="G31:G33" xr:uid="{4F8775CA-3D17-46C3-A9FD-D42DD99FB353}">
      <formula1>0</formula1>
      <formula2>1</formula2>
    </dataValidation>
  </dataValidations>
  <hyperlinks>
    <hyperlink ref="D26:E26" location="'Broker ICR'!C42" display="'Broker ICR'!C42" xr:uid="{ABB8C46E-280B-4049-8AE9-E1E33CD2128A}"/>
    <hyperlink ref="G26:I26" location="'Broker ICR'!C60" display="'Broker ICR'!C60" xr:uid="{4E17923B-CE6F-464B-A09F-9DA344FE9471}"/>
  </hyperlink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5" id="{81B56108-7627-408B-8B1B-3F045E11EA83}">
            <xm:f>Admin!$B$26="N"</xm:f>
            <x14:dxf>
              <font>
                <color theme="0"/>
              </font>
              <fill>
                <patternFill>
                  <bgColor theme="0"/>
                </patternFill>
              </fill>
              <border>
                <left/>
                <right/>
                <top/>
                <bottom/>
                <vertical/>
                <horizontal/>
              </border>
            </x14:dxf>
          </x14:cfRule>
          <xm:sqref>C19:J24</xm:sqref>
        </x14:conditionalFormatting>
        <x14:conditionalFormatting xmlns:xm="http://schemas.microsoft.com/office/excel/2006/main">
          <x14:cfRule type="expression" priority="4" id="{56C8FF8E-4CC3-4F55-990D-CAFC99B1C100}">
            <xm:f>Admin!$B$25&lt;&gt;"Y"</xm:f>
            <x14:dxf>
              <font>
                <color theme="0"/>
              </font>
              <fill>
                <patternFill>
                  <bgColor theme="0"/>
                </patternFill>
              </fill>
              <border>
                <left/>
                <right/>
                <top/>
                <bottom/>
                <vertical/>
                <horizontal/>
              </border>
            </x14:dxf>
          </x14:cfRule>
          <xm:sqref>C28:J35</xm:sqref>
        </x14:conditionalFormatting>
        <x14:conditionalFormatting xmlns:xm="http://schemas.microsoft.com/office/excel/2006/main">
          <x14:cfRule type="expression" priority="3" id="{52111327-B73D-47F2-8251-F487F9C507E5}">
            <xm:f>Admin!$B$27="N"</xm:f>
            <x14:dxf>
              <font>
                <color theme="0"/>
              </font>
              <fill>
                <patternFill>
                  <bgColor theme="0"/>
                </patternFill>
              </fill>
              <border>
                <left/>
                <right/>
                <top/>
                <bottom/>
                <vertical/>
                <horizontal/>
              </border>
            </x14:dxf>
          </x14:cfRule>
          <xm:sqref>C39:J47</xm:sqref>
        </x14:conditionalFormatting>
        <x14:conditionalFormatting xmlns:xm="http://schemas.microsoft.com/office/excel/2006/main">
          <x14:cfRule type="expression" priority="2" id="{013400A0-24FE-44E2-83AD-4B623C545224}">
            <xm:f>Admin!$B$25="Y"</xm:f>
            <x14:dxf>
              <font>
                <color theme="0" tint="-0.14996795556505021"/>
              </font>
              <fill>
                <patternFill>
                  <bgColor theme="0" tint="-0.14996795556505021"/>
                </patternFill>
              </fill>
              <border>
                <left/>
                <right/>
                <top/>
                <bottom/>
                <vertical/>
                <horizontal/>
              </border>
            </x14:dxf>
          </x14:cfRule>
          <xm:sqref>D14:E14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6">
        <x14:dataValidation type="list" errorStyle="information" allowBlank="1" showInputMessage="1" showErrorMessage="1" errorTitle="Letting Costs" error="Please insert the percentage charged by the letting agent" xr:uid="{FDFDB32D-E096-4FED-8485-86A445CDAB85}">
          <x14:formula1>
            <xm:f>Admin!$K$4:$K$10</xm:f>
          </x14:formula1>
          <xm:sqref>H14:I14</xm:sqref>
        </x14:dataValidation>
        <x14:dataValidation type="list" allowBlank="1" showInputMessage="1" showErrorMessage="1" xr:uid="{BCA452C2-95A1-41F5-83FB-895F334B5D5B}">
          <x14:formula1>
            <xm:f>Admin!$G$4:$G$6</xm:f>
          </x14:formula1>
          <xm:sqref>H21:I21 E21</xm:sqref>
        </x14:dataValidation>
        <x14:dataValidation type="list" allowBlank="1" showInputMessage="1" showErrorMessage="1" xr:uid="{FDD189CC-6AB1-427C-9340-1BAC042CDA43}">
          <x14:formula1>
            <xm:f>Admin!$H$4:$H$5</xm:f>
          </x14:formula1>
          <xm:sqref>E10</xm:sqref>
        </x14:dataValidation>
        <x14:dataValidation type="list" allowBlank="1" showInputMessage="1" showErrorMessage="1" xr:uid="{8C115EEA-9504-4D7F-B194-D821F1CA78CD}">
          <x14:formula1>
            <xm:f>Admin!$D$4:$D$10</xm:f>
          </x14:formula1>
          <xm:sqref>E6</xm:sqref>
        </x14:dataValidation>
        <x14:dataValidation type="list" allowBlank="1" showInputMessage="1" showErrorMessage="1" xr:uid="{E71C968A-3E4D-49D1-B3CF-8DAD4DA73195}">
          <x14:formula1>
            <xm:f>Admin!$J$4:$J$6</xm:f>
          </x14:formula1>
          <xm:sqref>E67</xm:sqref>
        </x14:dataValidation>
        <x14:dataValidation type="list" allowBlank="1" showInputMessage="1" showErrorMessage="1" xr:uid="{BBD165FF-715B-41C9-A71F-BBAF1EEC8800}">
          <x14:formula1>
            <xm:f>Admin!$I$4:$I$8</xm:f>
          </x14:formula1>
          <xm:sqref>H42:H45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252A4-F271-4111-96FF-50A9742CE734}">
  <dimension ref="A1:T55"/>
  <sheetViews>
    <sheetView topLeftCell="A4" workbookViewId="0">
      <selection activeCell="H24" sqref="H24"/>
    </sheetView>
  </sheetViews>
  <sheetFormatPr defaultColWidth="9.140625" defaultRowHeight="15" x14ac:dyDescent="0.25"/>
  <cols>
    <col min="1" max="1" width="27.5703125" style="126" bestFit="1" customWidth="1"/>
    <col min="2" max="2" width="20.140625" style="136" customWidth="1"/>
    <col min="3" max="3" width="5.42578125" style="126" customWidth="1"/>
    <col min="4" max="4" width="29.5703125" style="126" customWidth="1"/>
    <col min="5" max="5" width="14.7109375" style="126" customWidth="1"/>
    <col min="6" max="6" width="11.85546875" style="126" customWidth="1"/>
    <col min="7" max="7" width="18.140625" style="126" customWidth="1"/>
    <col min="8" max="8" width="26.28515625" style="126" customWidth="1"/>
    <col min="9" max="9" width="15.5703125" style="126" customWidth="1"/>
    <col min="10" max="10" width="22.42578125" style="126" customWidth="1"/>
    <col min="11" max="11" width="23.42578125" style="126" customWidth="1"/>
    <col min="12" max="12" width="15.7109375" style="126" customWidth="1"/>
    <col min="13" max="13" width="15" style="126" customWidth="1"/>
    <col min="14" max="16384" width="9.140625" style="126"/>
  </cols>
  <sheetData>
    <row r="1" spans="1:20" x14ac:dyDescent="0.25">
      <c r="A1" s="184"/>
      <c r="B1" s="185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200"/>
      <c r="P1" s="200"/>
      <c r="Q1" s="200"/>
      <c r="R1" s="200"/>
      <c r="S1" s="200"/>
      <c r="T1" s="200"/>
    </row>
    <row r="2" spans="1:20" x14ac:dyDescent="0.25">
      <c r="A2" s="184"/>
      <c r="B2" s="185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200"/>
      <c r="P2" s="200"/>
      <c r="Q2" s="200"/>
      <c r="R2" s="200"/>
      <c r="S2" s="200"/>
      <c r="T2" s="200"/>
    </row>
    <row r="3" spans="1:20" x14ac:dyDescent="0.25">
      <c r="A3" s="187" t="s">
        <v>35</v>
      </c>
      <c r="B3" s="187" t="s">
        <v>62</v>
      </c>
      <c r="C3" s="187"/>
      <c r="D3" s="187" t="s">
        <v>47</v>
      </c>
      <c r="E3" s="187" t="s">
        <v>35</v>
      </c>
      <c r="F3" s="187" t="s">
        <v>52</v>
      </c>
      <c r="G3" s="187" t="s">
        <v>58</v>
      </c>
      <c r="H3" s="187" t="s">
        <v>154</v>
      </c>
      <c r="I3" s="187" t="s">
        <v>64</v>
      </c>
      <c r="J3" s="187" t="s">
        <v>123</v>
      </c>
      <c r="K3" s="187" t="s">
        <v>130</v>
      </c>
      <c r="L3" s="184" t="s">
        <v>132</v>
      </c>
      <c r="M3" s="187" t="s">
        <v>35</v>
      </c>
      <c r="N3" s="184" t="s">
        <v>144</v>
      </c>
      <c r="O3" s="200"/>
      <c r="P3" s="200"/>
      <c r="Q3" s="200"/>
      <c r="R3" s="200"/>
      <c r="S3" s="200"/>
      <c r="T3" s="200"/>
    </row>
    <row r="4" spans="1:20" x14ac:dyDescent="0.25">
      <c r="A4" s="185" t="s">
        <v>48</v>
      </c>
      <c r="B4" s="188">
        <v>1.25</v>
      </c>
      <c r="C4" s="185"/>
      <c r="D4" s="185" t="s">
        <v>41</v>
      </c>
      <c r="E4" s="189">
        <v>1.25</v>
      </c>
      <c r="F4" s="185"/>
      <c r="G4" s="185" t="s">
        <v>50</v>
      </c>
      <c r="H4" s="185" t="s">
        <v>60</v>
      </c>
      <c r="I4" s="185" t="s">
        <v>151</v>
      </c>
      <c r="J4" s="185">
        <v>10</v>
      </c>
      <c r="K4" s="185">
        <v>1</v>
      </c>
      <c r="L4" s="189">
        <v>1.25</v>
      </c>
      <c r="M4" s="188">
        <v>1.25</v>
      </c>
      <c r="N4" s="184"/>
      <c r="O4" s="200"/>
      <c r="P4" s="200"/>
      <c r="Q4" s="200"/>
      <c r="R4" s="200"/>
      <c r="S4" s="200"/>
      <c r="T4" s="200"/>
    </row>
    <row r="5" spans="1:20" x14ac:dyDescent="0.25">
      <c r="A5" s="185" t="s">
        <v>36</v>
      </c>
      <c r="B5" s="188">
        <v>1.4</v>
      </c>
      <c r="C5" s="185"/>
      <c r="D5" s="185" t="s">
        <v>42</v>
      </c>
      <c r="E5" s="189">
        <v>1.25</v>
      </c>
      <c r="F5" s="185"/>
      <c r="G5" s="185" t="s">
        <v>51</v>
      </c>
      <c r="H5" s="185" t="s">
        <v>155</v>
      </c>
      <c r="I5" s="185" t="s">
        <v>65</v>
      </c>
      <c r="J5" s="185">
        <v>11</v>
      </c>
      <c r="K5" s="185">
        <v>2</v>
      </c>
      <c r="L5" s="189">
        <v>1.25</v>
      </c>
      <c r="M5" s="188">
        <v>1.25</v>
      </c>
      <c r="N5" s="184"/>
      <c r="O5" s="200"/>
      <c r="P5" s="200"/>
      <c r="Q5" s="200"/>
      <c r="R5" s="200"/>
      <c r="S5" s="200"/>
      <c r="T5" s="200"/>
    </row>
    <row r="6" spans="1:20" x14ac:dyDescent="0.25">
      <c r="A6" s="185" t="s">
        <v>0</v>
      </c>
      <c r="B6" s="188">
        <v>1.45</v>
      </c>
      <c r="C6" s="185"/>
      <c r="D6" s="185" t="s">
        <v>43</v>
      </c>
      <c r="E6" s="189">
        <v>1.5</v>
      </c>
      <c r="F6" s="185"/>
      <c r="G6" s="185"/>
      <c r="H6" s="185"/>
      <c r="I6" s="185" t="s">
        <v>66</v>
      </c>
      <c r="J6" s="185">
        <v>12</v>
      </c>
      <c r="K6" s="185">
        <v>3</v>
      </c>
      <c r="L6" s="189">
        <v>1.5</v>
      </c>
      <c r="M6" s="188">
        <v>1.5</v>
      </c>
      <c r="N6" s="184"/>
      <c r="O6" s="200"/>
      <c r="P6" s="200"/>
      <c r="Q6" s="200"/>
      <c r="R6" s="200"/>
      <c r="S6" s="200"/>
      <c r="T6" s="200"/>
    </row>
    <row r="7" spans="1:20" x14ac:dyDescent="0.25">
      <c r="A7" s="185" t="s">
        <v>139</v>
      </c>
      <c r="B7" s="188">
        <v>1.4</v>
      </c>
      <c r="C7" s="185"/>
      <c r="D7" s="185" t="s">
        <v>156</v>
      </c>
      <c r="E7" s="189">
        <v>1.4</v>
      </c>
      <c r="F7" s="185"/>
      <c r="G7" s="185"/>
      <c r="H7" s="185"/>
      <c r="I7" s="185" t="s">
        <v>152</v>
      </c>
      <c r="J7" s="185"/>
      <c r="K7" s="185">
        <v>4</v>
      </c>
      <c r="L7" s="189"/>
      <c r="M7" s="188"/>
      <c r="N7" s="184" t="s">
        <v>127</v>
      </c>
      <c r="O7" s="200"/>
      <c r="P7" s="200"/>
      <c r="Q7" s="200"/>
      <c r="R7" s="200"/>
      <c r="S7" s="200"/>
      <c r="T7" s="200"/>
    </row>
    <row r="8" spans="1:20" x14ac:dyDescent="0.25">
      <c r="A8" s="185" t="s">
        <v>66</v>
      </c>
      <c r="B8" s="188">
        <v>1.5</v>
      </c>
      <c r="C8" s="185"/>
      <c r="D8" s="185" t="s">
        <v>44</v>
      </c>
      <c r="E8" s="189">
        <v>1.5</v>
      </c>
      <c r="F8" s="185"/>
      <c r="G8" s="185"/>
      <c r="H8" s="185"/>
      <c r="I8" s="185" t="s">
        <v>144</v>
      </c>
      <c r="J8" s="184"/>
      <c r="K8" s="185">
        <v>5</v>
      </c>
      <c r="L8" s="189">
        <v>1.5</v>
      </c>
      <c r="M8" s="188">
        <v>1.5</v>
      </c>
      <c r="N8" s="184"/>
      <c r="O8" s="200"/>
      <c r="P8" s="200"/>
      <c r="Q8" s="200"/>
      <c r="R8" s="200"/>
      <c r="S8" s="200"/>
      <c r="T8" s="200"/>
    </row>
    <row r="9" spans="1:20" x14ac:dyDescent="0.25">
      <c r="A9" s="185" t="s">
        <v>138</v>
      </c>
      <c r="B9" s="188">
        <v>1.65</v>
      </c>
      <c r="C9" s="185"/>
      <c r="D9" s="185" t="s">
        <v>45</v>
      </c>
      <c r="E9" s="189">
        <v>1.45</v>
      </c>
      <c r="F9" s="185" t="s">
        <v>127</v>
      </c>
      <c r="G9" s="185"/>
      <c r="H9" s="185"/>
      <c r="I9" s="185"/>
      <c r="J9" s="184"/>
      <c r="K9" s="185">
        <v>6</v>
      </c>
      <c r="L9" s="189">
        <v>1.45</v>
      </c>
      <c r="M9" s="188">
        <v>1.45</v>
      </c>
      <c r="N9" s="184"/>
      <c r="O9" s="200"/>
      <c r="P9" s="200"/>
      <c r="Q9" s="200"/>
      <c r="R9" s="200"/>
      <c r="S9" s="200"/>
      <c r="T9" s="200"/>
    </row>
    <row r="10" spans="1:20" x14ac:dyDescent="0.25">
      <c r="A10" s="185" t="s">
        <v>141</v>
      </c>
      <c r="B10" s="188">
        <v>1.6</v>
      </c>
      <c r="C10" s="185"/>
      <c r="D10" s="185" t="s">
        <v>46</v>
      </c>
      <c r="E10" s="189">
        <v>1.45</v>
      </c>
      <c r="F10" s="185" t="s">
        <v>127</v>
      </c>
      <c r="G10" s="185"/>
      <c r="H10" s="185"/>
      <c r="I10" s="185"/>
      <c r="J10" s="184"/>
      <c r="K10" s="184"/>
      <c r="L10" s="189">
        <v>1.45</v>
      </c>
      <c r="M10" s="188">
        <v>1.45</v>
      </c>
      <c r="N10" s="184"/>
      <c r="O10" s="200"/>
      <c r="P10" s="200"/>
      <c r="Q10" s="200"/>
      <c r="R10" s="200"/>
      <c r="S10" s="200"/>
      <c r="T10" s="200"/>
    </row>
    <row r="11" spans="1:20" x14ac:dyDescent="0.25">
      <c r="A11" s="185"/>
      <c r="B11" s="185"/>
      <c r="C11" s="185"/>
      <c r="D11" s="185"/>
      <c r="E11" s="190"/>
      <c r="F11" s="185"/>
      <c r="G11" s="185"/>
      <c r="H11" s="185"/>
      <c r="I11" s="185"/>
      <c r="J11" s="184"/>
      <c r="K11" s="184"/>
      <c r="L11" s="184"/>
      <c r="M11" s="184"/>
      <c r="N11" s="184"/>
      <c r="O11" s="200"/>
      <c r="P11" s="200"/>
      <c r="Q11" s="200"/>
      <c r="R11" s="200"/>
      <c r="S11" s="200"/>
      <c r="T11" s="200"/>
    </row>
    <row r="12" spans="1:20" x14ac:dyDescent="0.25">
      <c r="A12" s="184"/>
      <c r="B12" s="185"/>
      <c r="N12" s="200"/>
      <c r="O12" s="200"/>
      <c r="P12" s="200"/>
      <c r="Q12" s="200"/>
      <c r="R12" s="200"/>
      <c r="S12" s="200"/>
      <c r="T12" s="200"/>
    </row>
    <row r="13" spans="1:20" x14ac:dyDescent="0.25">
      <c r="A13" s="229" t="s">
        <v>15</v>
      </c>
      <c r="B13" s="229"/>
      <c r="D13" s="230" t="s">
        <v>63</v>
      </c>
      <c r="E13" s="231"/>
      <c r="G13" s="227" t="s">
        <v>55</v>
      </c>
      <c r="H13" s="227"/>
      <c r="J13" s="227" t="s">
        <v>92</v>
      </c>
      <c r="K13" s="227"/>
      <c r="N13" s="200"/>
      <c r="O13" s="200"/>
      <c r="P13" s="200"/>
      <c r="Q13" s="200"/>
      <c r="R13" s="200"/>
      <c r="S13" s="200"/>
      <c r="T13" s="200"/>
    </row>
    <row r="14" spans="1:20" x14ac:dyDescent="0.25">
      <c r="A14" s="184" t="s">
        <v>15</v>
      </c>
      <c r="B14" s="192">
        <v>0.02</v>
      </c>
      <c r="D14" s="151" t="s">
        <v>53</v>
      </c>
      <c r="E14" s="152" t="s">
        <v>2</v>
      </c>
      <c r="G14" s="151" t="s">
        <v>86</v>
      </c>
      <c r="H14" s="152" t="e">
        <v>#VALUE!</v>
      </c>
      <c r="J14" s="149" t="s">
        <v>67</v>
      </c>
      <c r="K14" s="152" t="s">
        <v>2</v>
      </c>
      <c r="N14" s="200"/>
      <c r="O14" s="200"/>
      <c r="P14" s="200"/>
      <c r="Q14" s="200"/>
      <c r="R14" s="200"/>
      <c r="S14" s="200"/>
      <c r="T14" s="200"/>
    </row>
    <row r="15" spans="1:20" x14ac:dyDescent="0.25">
      <c r="A15" s="184" t="s">
        <v>37</v>
      </c>
      <c r="B15" s="192">
        <v>0</v>
      </c>
      <c r="D15" s="154" t="s">
        <v>54</v>
      </c>
      <c r="E15" s="155">
        <v>1.45</v>
      </c>
      <c r="G15" s="151" t="s">
        <v>84</v>
      </c>
      <c r="H15" s="146" t="s">
        <v>127</v>
      </c>
      <c r="J15" s="149" t="s">
        <v>90</v>
      </c>
      <c r="K15" s="152">
        <v>0</v>
      </c>
      <c r="N15" s="200"/>
      <c r="O15" s="200"/>
      <c r="P15" s="200"/>
      <c r="Q15" s="200"/>
      <c r="R15" s="200"/>
      <c r="S15" s="200"/>
      <c r="T15" s="200"/>
    </row>
    <row r="16" spans="1:20" x14ac:dyDescent="0.25">
      <c r="A16" s="184" t="s">
        <v>140</v>
      </c>
      <c r="B16" s="192">
        <v>0</v>
      </c>
      <c r="D16" s="151" t="s">
        <v>15</v>
      </c>
      <c r="E16" s="153">
        <v>0.02</v>
      </c>
      <c r="G16" s="151" t="s">
        <v>87</v>
      </c>
      <c r="H16" s="152" t="e">
        <v>#DIV/0!</v>
      </c>
      <c r="J16" s="149" t="s">
        <v>91</v>
      </c>
      <c r="K16" s="152">
        <v>0</v>
      </c>
      <c r="N16" s="200"/>
      <c r="O16" s="200"/>
      <c r="P16" s="200"/>
      <c r="Q16" s="200"/>
      <c r="R16" s="200"/>
      <c r="S16" s="200"/>
      <c r="T16" s="200"/>
    </row>
    <row r="17" spans="1:20" x14ac:dyDescent="0.25">
      <c r="A17" s="184" t="s">
        <v>38</v>
      </c>
      <c r="B17" s="192">
        <v>2.75E-2</v>
      </c>
      <c r="D17" s="151" t="s">
        <v>55</v>
      </c>
      <c r="E17" s="152" t="e">
        <v>#VALUE!</v>
      </c>
      <c r="G17" s="154" t="s">
        <v>55</v>
      </c>
      <c r="H17" s="156" t="e">
        <v>#DIV/0!</v>
      </c>
      <c r="J17" s="227" t="s">
        <v>97</v>
      </c>
      <c r="K17" s="227"/>
      <c r="N17" s="200"/>
      <c r="O17" s="200"/>
      <c r="P17" s="200"/>
      <c r="Q17" s="200"/>
      <c r="R17" s="200"/>
      <c r="S17" s="200"/>
      <c r="T17" s="200"/>
    </row>
    <row r="18" spans="1:20" x14ac:dyDescent="0.25">
      <c r="A18" s="184" t="s">
        <v>40</v>
      </c>
      <c r="B18" s="193" t="s">
        <v>159</v>
      </c>
      <c r="D18" s="151" t="s">
        <v>56</v>
      </c>
      <c r="E18" s="152">
        <v>0</v>
      </c>
      <c r="J18" s="149" t="s">
        <v>67</v>
      </c>
      <c r="K18" s="152">
        <v>0</v>
      </c>
      <c r="N18" s="200"/>
      <c r="O18" s="200"/>
      <c r="P18" s="200"/>
      <c r="Q18" s="200"/>
      <c r="R18" s="200"/>
      <c r="S18" s="200"/>
      <c r="T18" s="200"/>
    </row>
    <row r="19" spans="1:20" x14ac:dyDescent="0.25">
      <c r="A19" s="184" t="s">
        <v>61</v>
      </c>
      <c r="B19" s="185" t="s">
        <v>159</v>
      </c>
      <c r="D19" s="151" t="s">
        <v>96</v>
      </c>
      <c r="E19" s="152">
        <v>0</v>
      </c>
      <c r="J19" s="149" t="s">
        <v>90</v>
      </c>
      <c r="K19" s="152" t="e">
        <v>#DIV/0!</v>
      </c>
      <c r="N19" s="200"/>
      <c r="O19" s="200"/>
      <c r="P19" s="200"/>
      <c r="Q19" s="200"/>
      <c r="R19" s="200"/>
      <c r="S19" s="200"/>
      <c r="T19" s="200"/>
    </row>
    <row r="20" spans="1:20" x14ac:dyDescent="0.25">
      <c r="A20" s="194" t="s">
        <v>39</v>
      </c>
      <c r="B20" s="195">
        <v>0.02</v>
      </c>
      <c r="D20" s="154" t="s">
        <v>57</v>
      </c>
      <c r="E20" s="178" t="e">
        <v>#VALUE!</v>
      </c>
      <c r="J20" s="159" t="s">
        <v>91</v>
      </c>
      <c r="K20" s="160" t="e">
        <v>#DIV/0!</v>
      </c>
      <c r="N20" s="200"/>
      <c r="O20" s="200"/>
      <c r="P20" s="200"/>
      <c r="Q20" s="200"/>
      <c r="R20" s="200"/>
      <c r="S20" s="200"/>
      <c r="T20" s="200"/>
    </row>
    <row r="21" spans="1:20" x14ac:dyDescent="0.25">
      <c r="A21" s="194" t="s">
        <v>124</v>
      </c>
      <c r="B21" s="195" t="s">
        <v>159</v>
      </c>
      <c r="D21" s="162"/>
      <c r="E21" s="163"/>
      <c r="J21" s="154" t="s">
        <v>91</v>
      </c>
      <c r="K21" s="156" t="e">
        <v>#DIV/0!</v>
      </c>
      <c r="N21" s="200"/>
      <c r="O21" s="200"/>
      <c r="P21" s="200"/>
      <c r="Q21" s="200"/>
      <c r="R21" s="200"/>
      <c r="S21" s="200"/>
      <c r="T21" s="200"/>
    </row>
    <row r="22" spans="1:20" x14ac:dyDescent="0.25">
      <c r="A22" s="184"/>
      <c r="B22" s="185"/>
      <c r="D22" s="228" t="s">
        <v>84</v>
      </c>
      <c r="E22" s="228"/>
      <c r="F22" s="228"/>
      <c r="G22" s="228"/>
      <c r="H22" s="228"/>
      <c r="I22" s="228"/>
      <c r="J22" s="228"/>
      <c r="K22" s="228"/>
      <c r="L22" s="228"/>
      <c r="N22" s="200"/>
      <c r="O22" s="200"/>
      <c r="P22" s="200"/>
      <c r="Q22" s="200"/>
      <c r="R22" s="200"/>
      <c r="S22" s="200"/>
      <c r="T22" s="200"/>
    </row>
    <row r="23" spans="1:20" x14ac:dyDescent="0.25">
      <c r="A23" s="229" t="s">
        <v>89</v>
      </c>
      <c r="B23" s="229"/>
      <c r="D23" s="164" t="s">
        <v>68</v>
      </c>
      <c r="E23" s="165" t="s">
        <v>70</v>
      </c>
      <c r="F23" s="166" t="s">
        <v>71</v>
      </c>
      <c r="G23" s="166" t="s">
        <v>72</v>
      </c>
      <c r="H23" s="166" t="s">
        <v>77</v>
      </c>
      <c r="I23" s="166" t="s">
        <v>81</v>
      </c>
      <c r="J23" s="166" t="s">
        <v>78</v>
      </c>
      <c r="K23" s="166" t="s">
        <v>79</v>
      </c>
      <c r="L23" s="166" t="s">
        <v>85</v>
      </c>
      <c r="N23" s="200"/>
      <c r="O23" s="200"/>
      <c r="P23" s="200"/>
      <c r="Q23" s="200"/>
      <c r="R23" s="200"/>
      <c r="S23" s="200"/>
      <c r="T23" s="200"/>
    </row>
    <row r="24" spans="1:20" x14ac:dyDescent="0.25">
      <c r="A24" s="194" t="s">
        <v>49</v>
      </c>
      <c r="B24" s="185" t="s">
        <v>159</v>
      </c>
      <c r="D24" s="151" t="s">
        <v>69</v>
      </c>
      <c r="E24" s="152">
        <v>0</v>
      </c>
      <c r="F24" s="152" t="s">
        <v>2</v>
      </c>
      <c r="G24" s="153">
        <v>0.02</v>
      </c>
      <c r="H24" s="146" t="s">
        <v>45</v>
      </c>
      <c r="I24" s="152">
        <v>0</v>
      </c>
      <c r="J24" s="167">
        <v>1.45</v>
      </c>
      <c r="K24" s="152">
        <v>0</v>
      </c>
      <c r="L24" s="168" t="e">
        <v>#VALUE!</v>
      </c>
      <c r="N24" s="200"/>
      <c r="O24" s="200"/>
      <c r="P24" s="200"/>
      <c r="Q24" s="200"/>
      <c r="R24" s="200"/>
      <c r="S24" s="200"/>
      <c r="T24" s="200"/>
    </row>
    <row r="25" spans="1:20" x14ac:dyDescent="0.25">
      <c r="A25" s="194" t="s">
        <v>52</v>
      </c>
      <c r="B25" s="185" t="s">
        <v>127</v>
      </c>
      <c r="D25" s="151" t="s">
        <v>73</v>
      </c>
      <c r="E25" s="152">
        <v>0</v>
      </c>
      <c r="F25" s="152">
        <v>0</v>
      </c>
      <c r="G25" s="153">
        <v>0.02</v>
      </c>
      <c r="H25" s="146">
        <v>0</v>
      </c>
      <c r="I25" s="152">
        <v>0</v>
      </c>
      <c r="J25" s="167" t="s">
        <v>2</v>
      </c>
      <c r="K25" s="152" t="s">
        <v>2</v>
      </c>
      <c r="L25" s="168" t="s">
        <v>2</v>
      </c>
      <c r="N25" s="200"/>
      <c r="O25" s="200"/>
      <c r="P25" s="200"/>
      <c r="Q25" s="200"/>
      <c r="R25" s="200"/>
      <c r="S25" s="200"/>
      <c r="T25" s="200"/>
    </row>
    <row r="26" spans="1:20" x14ac:dyDescent="0.25">
      <c r="A26" s="194" t="s">
        <v>129</v>
      </c>
      <c r="B26" s="185" t="s">
        <v>160</v>
      </c>
      <c r="D26" s="151" t="s">
        <v>74</v>
      </c>
      <c r="E26" s="152">
        <v>0</v>
      </c>
      <c r="F26" s="152">
        <v>0</v>
      </c>
      <c r="G26" s="153">
        <v>0.02</v>
      </c>
      <c r="H26" s="146">
        <v>0</v>
      </c>
      <c r="I26" s="152">
        <v>0</v>
      </c>
      <c r="J26" s="167" t="s">
        <v>2</v>
      </c>
      <c r="K26" s="152" t="s">
        <v>2</v>
      </c>
      <c r="L26" s="168" t="s">
        <v>2</v>
      </c>
      <c r="N26" s="200"/>
      <c r="O26" s="200"/>
      <c r="P26" s="200"/>
      <c r="Q26" s="200"/>
      <c r="R26" s="200"/>
      <c r="S26" s="200"/>
      <c r="T26" s="200"/>
    </row>
    <row r="27" spans="1:20" x14ac:dyDescent="0.25">
      <c r="A27" s="194" t="s">
        <v>128</v>
      </c>
      <c r="B27" s="185" t="s">
        <v>127</v>
      </c>
      <c r="D27" s="151" t="s">
        <v>75</v>
      </c>
      <c r="E27" s="152">
        <v>0</v>
      </c>
      <c r="F27" s="152">
        <v>0</v>
      </c>
      <c r="G27" s="153">
        <v>0.02</v>
      </c>
      <c r="H27" s="146">
        <v>0</v>
      </c>
      <c r="I27" s="152">
        <v>0</v>
      </c>
      <c r="J27" s="167" t="s">
        <v>2</v>
      </c>
      <c r="K27" s="152" t="s">
        <v>2</v>
      </c>
      <c r="L27" s="168" t="s">
        <v>2</v>
      </c>
      <c r="N27" s="200"/>
      <c r="O27" s="200"/>
      <c r="P27" s="200"/>
      <c r="Q27" s="200"/>
      <c r="R27" s="200"/>
      <c r="S27" s="200"/>
      <c r="T27" s="200"/>
    </row>
    <row r="28" spans="1:20" x14ac:dyDescent="0.25">
      <c r="A28" s="194" t="s">
        <v>144</v>
      </c>
      <c r="B28" s="185" t="b">
        <v>0</v>
      </c>
      <c r="D28" s="151" t="s">
        <v>76</v>
      </c>
      <c r="E28" s="152">
        <v>0</v>
      </c>
      <c r="F28" s="152">
        <v>0</v>
      </c>
      <c r="G28" s="153">
        <v>0.02</v>
      </c>
      <c r="H28" s="146">
        <v>0</v>
      </c>
      <c r="I28" s="152">
        <v>0</v>
      </c>
      <c r="J28" s="167" t="s">
        <v>2</v>
      </c>
      <c r="K28" s="152" t="s">
        <v>2</v>
      </c>
      <c r="L28" s="168" t="s">
        <v>2</v>
      </c>
      <c r="N28" s="200"/>
      <c r="O28" s="200"/>
      <c r="P28" s="200"/>
      <c r="Q28" s="200"/>
      <c r="R28" s="200"/>
      <c r="S28" s="200"/>
      <c r="T28" s="200"/>
    </row>
    <row r="29" spans="1:20" x14ac:dyDescent="0.25">
      <c r="A29" s="184"/>
      <c r="B29" s="185"/>
      <c r="D29" s="151" t="s">
        <v>80</v>
      </c>
      <c r="E29" s="169">
        <v>0</v>
      </c>
      <c r="F29" s="169">
        <v>0</v>
      </c>
      <c r="G29" s="161" t="e">
        <v>#DIV/0!</v>
      </c>
      <c r="H29" s="146"/>
      <c r="I29" s="169">
        <v>0</v>
      </c>
      <c r="J29" s="167" t="e">
        <v>#DIV/0!</v>
      </c>
      <c r="K29" s="169">
        <v>0</v>
      </c>
      <c r="L29" s="149"/>
      <c r="N29" s="200"/>
      <c r="O29" s="200"/>
      <c r="P29" s="200"/>
      <c r="Q29" s="200"/>
      <c r="R29" s="200"/>
      <c r="S29" s="200"/>
      <c r="T29" s="200"/>
    </row>
    <row r="30" spans="1:20" x14ac:dyDescent="0.25">
      <c r="A30" s="184"/>
      <c r="B30" s="185"/>
      <c r="I30" s="166" t="s">
        <v>82</v>
      </c>
      <c r="J30" s="167" t="e">
        <v>#DIV/0!</v>
      </c>
      <c r="N30" s="200"/>
      <c r="O30" s="200"/>
      <c r="P30" s="200"/>
      <c r="Q30" s="200"/>
      <c r="R30" s="200"/>
      <c r="S30" s="200"/>
      <c r="T30" s="200"/>
    </row>
    <row r="31" spans="1:20" x14ac:dyDescent="0.25">
      <c r="A31" s="184"/>
      <c r="B31" s="185"/>
      <c r="I31" s="166" t="s">
        <v>83</v>
      </c>
      <c r="J31" s="152">
        <v>0</v>
      </c>
      <c r="N31" s="200"/>
      <c r="O31" s="200"/>
      <c r="P31" s="200"/>
      <c r="Q31" s="200"/>
      <c r="R31" s="200"/>
      <c r="S31" s="200"/>
      <c r="T31" s="200"/>
    </row>
    <row r="32" spans="1:20" x14ac:dyDescent="0.25">
      <c r="A32" s="194" t="s">
        <v>122</v>
      </c>
      <c r="B32" s="191" t="s">
        <v>131</v>
      </c>
      <c r="I32" s="170" t="s">
        <v>55</v>
      </c>
      <c r="J32" s="171" t="e">
        <v>#DIV/0!</v>
      </c>
      <c r="N32" s="200"/>
      <c r="O32" s="200"/>
      <c r="P32" s="200"/>
      <c r="Q32" s="200"/>
      <c r="R32" s="200"/>
      <c r="S32" s="200"/>
      <c r="T32" s="200"/>
    </row>
    <row r="33" spans="1:20" x14ac:dyDescent="0.25">
      <c r="A33" s="184"/>
      <c r="B33" s="185"/>
      <c r="N33" s="200"/>
      <c r="O33" s="200"/>
      <c r="P33" s="200"/>
      <c r="Q33" s="200"/>
      <c r="R33" s="200"/>
      <c r="S33" s="200"/>
      <c r="T33" s="200"/>
    </row>
    <row r="34" spans="1:20" x14ac:dyDescent="0.25">
      <c r="A34" s="229" t="s">
        <v>109</v>
      </c>
      <c r="B34" s="229"/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200"/>
      <c r="P34" s="200"/>
      <c r="Q34" s="200"/>
      <c r="R34" s="200"/>
      <c r="S34" s="200"/>
      <c r="T34" s="200"/>
    </row>
    <row r="35" spans="1:20" x14ac:dyDescent="0.25">
      <c r="A35" s="196" t="s">
        <v>3</v>
      </c>
      <c r="B35" s="185"/>
      <c r="C35" s="185" t="s">
        <v>108</v>
      </c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200"/>
      <c r="P35" s="200"/>
      <c r="Q35" s="200"/>
      <c r="R35" s="200"/>
      <c r="S35" s="200"/>
      <c r="T35" s="200"/>
    </row>
    <row r="36" spans="1:20" x14ac:dyDescent="0.25">
      <c r="A36" s="197" t="s">
        <v>4</v>
      </c>
      <c r="B36" s="198" t="s">
        <v>45</v>
      </c>
      <c r="C36" s="185" t="s">
        <v>127</v>
      </c>
      <c r="D36" s="184" t="s">
        <v>2</v>
      </c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200"/>
      <c r="P36" s="200"/>
      <c r="Q36" s="200"/>
      <c r="R36" s="200"/>
      <c r="S36" s="200"/>
      <c r="T36" s="200"/>
    </row>
    <row r="37" spans="1:20" x14ac:dyDescent="0.25">
      <c r="A37" s="197" t="s">
        <v>5</v>
      </c>
      <c r="B37" s="185">
        <v>0</v>
      </c>
      <c r="C37" s="185" t="s">
        <v>160</v>
      </c>
      <c r="D37" s="184" t="s">
        <v>161</v>
      </c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200"/>
      <c r="P37" s="200"/>
      <c r="Q37" s="200"/>
      <c r="R37" s="200"/>
      <c r="S37" s="200"/>
      <c r="T37" s="200"/>
    </row>
    <row r="38" spans="1:20" x14ac:dyDescent="0.25">
      <c r="A38" s="197" t="s">
        <v>59</v>
      </c>
      <c r="B38" s="185">
        <v>0</v>
      </c>
      <c r="C38" s="185" t="s">
        <v>160</v>
      </c>
      <c r="D38" s="184" t="s">
        <v>162</v>
      </c>
      <c r="E38" s="184"/>
      <c r="F38" s="184"/>
      <c r="G38" s="184"/>
      <c r="H38" s="184"/>
      <c r="I38" s="184"/>
      <c r="J38" s="184"/>
      <c r="K38" s="184"/>
      <c r="L38" s="184"/>
      <c r="M38" s="184"/>
      <c r="N38" s="184"/>
      <c r="O38" s="200"/>
      <c r="P38" s="200"/>
      <c r="Q38" s="200"/>
      <c r="R38" s="200"/>
      <c r="S38" s="200"/>
      <c r="T38" s="200"/>
    </row>
    <row r="39" spans="1:20" x14ac:dyDescent="0.25">
      <c r="A39" s="197" t="s">
        <v>9</v>
      </c>
      <c r="B39" s="185">
        <v>0</v>
      </c>
      <c r="C39" s="185" t="s">
        <v>127</v>
      </c>
      <c r="D39" s="184" t="s">
        <v>2</v>
      </c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200"/>
      <c r="P39" s="200"/>
      <c r="Q39" s="200"/>
      <c r="R39" s="200"/>
      <c r="S39" s="200"/>
      <c r="T39" s="200"/>
    </row>
    <row r="40" spans="1:20" x14ac:dyDescent="0.25">
      <c r="A40" s="197" t="s">
        <v>11</v>
      </c>
      <c r="B40" s="185">
        <v>0</v>
      </c>
      <c r="C40" s="185" t="s">
        <v>160</v>
      </c>
      <c r="D40" s="184" t="s">
        <v>161</v>
      </c>
      <c r="E40" s="184"/>
      <c r="F40" s="184"/>
      <c r="G40" s="184"/>
      <c r="H40" s="184"/>
      <c r="I40" s="184"/>
      <c r="J40" s="184"/>
      <c r="K40" s="184"/>
      <c r="L40" s="184"/>
      <c r="M40" s="184"/>
      <c r="N40" s="184"/>
      <c r="O40" s="200"/>
      <c r="P40" s="200"/>
      <c r="Q40" s="200"/>
      <c r="R40" s="200"/>
      <c r="S40" s="200"/>
      <c r="T40" s="200"/>
    </row>
    <row r="41" spans="1:20" x14ac:dyDescent="0.25">
      <c r="A41" s="184" t="s">
        <v>6</v>
      </c>
      <c r="B41" s="185">
        <v>0</v>
      </c>
      <c r="C41" s="185" t="s">
        <v>160</v>
      </c>
      <c r="D41" s="184" t="s">
        <v>163</v>
      </c>
      <c r="E41" s="184"/>
      <c r="F41" s="184"/>
      <c r="G41" s="184"/>
      <c r="H41" s="184"/>
      <c r="I41" s="184"/>
      <c r="J41" s="184"/>
      <c r="K41" s="184"/>
      <c r="L41" s="184"/>
      <c r="M41" s="184"/>
      <c r="N41" s="184"/>
      <c r="O41" s="200"/>
      <c r="P41" s="200"/>
      <c r="Q41" s="200"/>
      <c r="R41" s="200"/>
      <c r="S41" s="200"/>
      <c r="T41" s="200"/>
    </row>
    <row r="42" spans="1:20" x14ac:dyDescent="0.25">
      <c r="A42" s="184" t="s">
        <v>7</v>
      </c>
      <c r="B42" s="192">
        <v>0</v>
      </c>
      <c r="C42" s="185" t="s">
        <v>127</v>
      </c>
      <c r="D42" s="184" t="s">
        <v>2</v>
      </c>
      <c r="E42" s="184"/>
      <c r="F42" s="184"/>
      <c r="G42" s="184"/>
      <c r="H42" s="184"/>
      <c r="I42" s="184"/>
      <c r="J42" s="184"/>
      <c r="K42" s="184"/>
      <c r="L42" s="184"/>
      <c r="M42" s="184"/>
      <c r="N42" s="184"/>
      <c r="O42" s="200"/>
      <c r="P42" s="200"/>
      <c r="Q42" s="200"/>
      <c r="R42" s="200"/>
      <c r="S42" s="200"/>
      <c r="T42" s="200"/>
    </row>
    <row r="43" spans="1:20" x14ac:dyDescent="0.25">
      <c r="A43" s="184" t="s">
        <v>12</v>
      </c>
      <c r="B43" s="193">
        <v>3</v>
      </c>
      <c r="C43" s="185" t="s">
        <v>127</v>
      </c>
      <c r="D43" s="184" t="s">
        <v>2</v>
      </c>
      <c r="E43" s="184"/>
      <c r="F43" s="184"/>
      <c r="G43" s="184"/>
      <c r="H43" s="184"/>
      <c r="I43" s="184"/>
      <c r="J43" s="184"/>
      <c r="K43" s="184"/>
      <c r="L43" s="184"/>
      <c r="M43" s="184"/>
      <c r="N43" s="184"/>
      <c r="O43" s="200"/>
      <c r="P43" s="200"/>
      <c r="Q43" s="200"/>
      <c r="R43" s="200"/>
      <c r="S43" s="200"/>
      <c r="T43" s="200"/>
    </row>
    <row r="44" spans="1:20" x14ac:dyDescent="0.25">
      <c r="A44" s="184" t="s">
        <v>110</v>
      </c>
      <c r="B44" s="185">
        <v>0</v>
      </c>
      <c r="C44" s="199" t="s">
        <v>127</v>
      </c>
      <c r="D44" s="184" t="s">
        <v>2</v>
      </c>
      <c r="E44" s="184"/>
      <c r="F44" s="184"/>
      <c r="G44" s="184"/>
      <c r="H44" s="184"/>
      <c r="I44" s="184"/>
      <c r="J44" s="184"/>
      <c r="K44" s="184"/>
      <c r="L44" s="184"/>
      <c r="M44" s="184"/>
      <c r="N44" s="184"/>
      <c r="O44" s="200"/>
      <c r="P44" s="200"/>
      <c r="Q44" s="200"/>
      <c r="R44" s="200"/>
      <c r="S44" s="200"/>
      <c r="T44" s="200"/>
    </row>
    <row r="45" spans="1:20" x14ac:dyDescent="0.25">
      <c r="A45" s="184" t="s">
        <v>111</v>
      </c>
      <c r="B45" s="185" t="s">
        <v>108</v>
      </c>
      <c r="C45" s="185" t="s">
        <v>108</v>
      </c>
      <c r="D45" s="184"/>
      <c r="E45" s="184"/>
      <c r="F45" s="184"/>
      <c r="G45" s="184"/>
      <c r="H45" s="184"/>
      <c r="I45" s="184"/>
      <c r="J45" s="184"/>
      <c r="K45" s="184"/>
      <c r="L45" s="184"/>
      <c r="M45" s="184"/>
      <c r="N45" s="184"/>
      <c r="O45" s="200"/>
      <c r="P45" s="200"/>
      <c r="Q45" s="200"/>
      <c r="R45" s="200"/>
      <c r="S45" s="200"/>
      <c r="T45" s="200"/>
    </row>
    <row r="46" spans="1:20" x14ac:dyDescent="0.25">
      <c r="A46" s="184" t="s">
        <v>112</v>
      </c>
      <c r="B46" s="185">
        <v>0</v>
      </c>
      <c r="C46" s="185" t="s">
        <v>160</v>
      </c>
      <c r="D46" s="184" t="s">
        <v>164</v>
      </c>
      <c r="E46" s="184"/>
      <c r="F46" s="184"/>
      <c r="G46" s="184"/>
      <c r="H46" s="184"/>
      <c r="I46" s="184"/>
      <c r="J46" s="184"/>
      <c r="K46" s="184"/>
      <c r="L46" s="184"/>
      <c r="M46" s="184"/>
      <c r="N46" s="184"/>
      <c r="O46" s="200"/>
      <c r="P46" s="200"/>
      <c r="Q46" s="200"/>
      <c r="R46" s="200"/>
      <c r="S46" s="200"/>
      <c r="T46" s="200"/>
    </row>
    <row r="47" spans="1:20" x14ac:dyDescent="0.25">
      <c r="A47" s="184" t="s">
        <v>113</v>
      </c>
      <c r="B47" s="185">
        <v>0</v>
      </c>
      <c r="C47" s="185" t="s">
        <v>160</v>
      </c>
      <c r="D47" s="184" t="s">
        <v>164</v>
      </c>
      <c r="E47" s="184"/>
      <c r="F47" s="184"/>
      <c r="G47" s="184"/>
      <c r="H47" s="184"/>
      <c r="I47" s="184"/>
      <c r="J47" s="184"/>
      <c r="K47" s="184"/>
      <c r="L47" s="184"/>
      <c r="M47" s="184"/>
      <c r="N47" s="184"/>
      <c r="O47" s="200"/>
      <c r="P47" s="200"/>
      <c r="Q47" s="200"/>
      <c r="R47" s="200"/>
      <c r="S47" s="200"/>
      <c r="T47" s="200"/>
    </row>
    <row r="48" spans="1:20" x14ac:dyDescent="0.25">
      <c r="A48" s="184" t="s">
        <v>114</v>
      </c>
      <c r="B48" s="185">
        <v>0</v>
      </c>
      <c r="C48" s="185" t="s">
        <v>160</v>
      </c>
      <c r="D48" s="184" t="s">
        <v>164</v>
      </c>
      <c r="E48" s="184"/>
      <c r="F48" s="184"/>
      <c r="G48" s="184"/>
      <c r="H48" s="184"/>
      <c r="I48" s="184"/>
      <c r="J48" s="184"/>
      <c r="K48" s="184"/>
      <c r="L48" s="184"/>
      <c r="M48" s="184"/>
      <c r="N48" s="184"/>
      <c r="O48" s="200"/>
      <c r="P48" s="200"/>
      <c r="Q48" s="200"/>
      <c r="R48" s="200"/>
      <c r="S48" s="200"/>
      <c r="T48" s="200"/>
    </row>
    <row r="49" spans="1:20" x14ac:dyDescent="0.25">
      <c r="A49" s="184" t="s">
        <v>115</v>
      </c>
      <c r="B49" s="185">
        <v>0</v>
      </c>
      <c r="C49" s="185" t="s">
        <v>160</v>
      </c>
      <c r="D49" s="184" t="s">
        <v>165</v>
      </c>
      <c r="E49" s="184"/>
      <c r="F49" s="184"/>
      <c r="G49" s="184"/>
      <c r="H49" s="184"/>
      <c r="I49" s="184"/>
      <c r="J49" s="184"/>
      <c r="K49" s="184"/>
      <c r="L49" s="184"/>
      <c r="M49" s="184"/>
      <c r="N49" s="184"/>
      <c r="O49" s="200"/>
      <c r="P49" s="200"/>
      <c r="Q49" s="200"/>
      <c r="R49" s="200"/>
      <c r="S49" s="200"/>
      <c r="T49" s="200"/>
    </row>
    <row r="50" spans="1:20" x14ac:dyDescent="0.25">
      <c r="A50" s="184" t="s">
        <v>116</v>
      </c>
      <c r="B50" s="185">
        <v>0</v>
      </c>
      <c r="C50" s="185" t="s">
        <v>160</v>
      </c>
      <c r="D50" s="184" t="s">
        <v>165</v>
      </c>
      <c r="E50" s="184"/>
      <c r="F50" s="184"/>
      <c r="G50" s="184"/>
      <c r="H50" s="184"/>
      <c r="I50" s="184"/>
      <c r="J50" s="184"/>
      <c r="K50" s="184"/>
      <c r="L50" s="184"/>
      <c r="M50" s="184"/>
      <c r="N50" s="184"/>
      <c r="O50" s="200"/>
      <c r="P50" s="200"/>
      <c r="Q50" s="200"/>
      <c r="R50" s="200"/>
      <c r="S50" s="200"/>
      <c r="T50" s="200"/>
    </row>
    <row r="51" spans="1:20" x14ac:dyDescent="0.25">
      <c r="A51" s="184" t="s">
        <v>117</v>
      </c>
      <c r="B51" s="185">
        <v>0</v>
      </c>
      <c r="C51" s="185" t="s">
        <v>127</v>
      </c>
      <c r="D51" s="184" t="s">
        <v>2</v>
      </c>
      <c r="E51" s="184"/>
      <c r="F51" s="184"/>
      <c r="G51" s="184"/>
      <c r="H51" s="184"/>
      <c r="I51" s="184"/>
      <c r="J51" s="184"/>
      <c r="K51" s="184"/>
      <c r="L51" s="184"/>
      <c r="M51" s="184"/>
      <c r="N51" s="184"/>
      <c r="O51" s="200"/>
      <c r="P51" s="200"/>
      <c r="Q51" s="200"/>
      <c r="R51" s="200"/>
      <c r="S51" s="200"/>
      <c r="T51" s="200"/>
    </row>
    <row r="52" spans="1:20" x14ac:dyDescent="0.25">
      <c r="A52" s="184" t="s">
        <v>118</v>
      </c>
      <c r="B52" s="185">
        <v>0</v>
      </c>
      <c r="C52" s="185" t="s">
        <v>127</v>
      </c>
      <c r="D52" s="184" t="s">
        <v>2</v>
      </c>
      <c r="E52" s="184"/>
      <c r="F52" s="184"/>
      <c r="G52" s="184"/>
      <c r="H52" s="184"/>
      <c r="I52" s="184"/>
      <c r="J52" s="184"/>
      <c r="K52" s="184"/>
      <c r="L52" s="184"/>
      <c r="M52" s="184"/>
      <c r="N52" s="184"/>
      <c r="O52" s="200"/>
      <c r="P52" s="200"/>
      <c r="Q52" s="200"/>
      <c r="R52" s="200"/>
      <c r="S52" s="200"/>
      <c r="T52" s="200"/>
    </row>
    <row r="53" spans="1:20" x14ac:dyDescent="0.25">
      <c r="A53" s="184" t="s">
        <v>10</v>
      </c>
      <c r="B53" s="185" t="s">
        <v>2</v>
      </c>
      <c r="C53" s="185" t="s">
        <v>2</v>
      </c>
      <c r="D53" s="184" t="s">
        <v>2</v>
      </c>
      <c r="E53" s="184"/>
      <c r="F53" s="184"/>
      <c r="G53" s="184"/>
      <c r="H53" s="184"/>
      <c r="I53" s="184"/>
      <c r="J53" s="184"/>
      <c r="K53" s="184"/>
      <c r="L53" s="184"/>
      <c r="M53" s="184"/>
      <c r="N53" s="184"/>
      <c r="O53" s="200"/>
      <c r="P53" s="200"/>
      <c r="Q53" s="200"/>
      <c r="R53" s="200"/>
      <c r="S53" s="200"/>
      <c r="T53" s="200"/>
    </row>
    <row r="54" spans="1:20" x14ac:dyDescent="0.25">
      <c r="A54" s="184"/>
      <c r="B54" s="185" t="s">
        <v>119</v>
      </c>
      <c r="C54" s="185">
        <v>9</v>
      </c>
      <c r="D54" s="184" t="s">
        <v>166</v>
      </c>
      <c r="E54" s="184"/>
      <c r="F54" s="184"/>
      <c r="G54" s="184"/>
      <c r="H54" s="184"/>
      <c r="I54" s="184"/>
      <c r="J54" s="184"/>
      <c r="K54" s="184"/>
      <c r="L54" s="184"/>
      <c r="M54" s="184"/>
      <c r="N54" s="184"/>
      <c r="O54" s="200"/>
      <c r="P54" s="200"/>
      <c r="Q54" s="200"/>
      <c r="R54" s="200"/>
      <c r="S54" s="200"/>
      <c r="T54" s="200"/>
    </row>
    <row r="55" spans="1:20" x14ac:dyDescent="0.25">
      <c r="O55" s="200"/>
      <c r="P55" s="200"/>
      <c r="Q55" s="200"/>
      <c r="R55" s="200"/>
      <c r="S55" s="200"/>
      <c r="T55" s="200"/>
    </row>
  </sheetData>
  <mergeCells count="8">
    <mergeCell ref="J13:K13"/>
    <mergeCell ref="J17:K17"/>
    <mergeCell ref="D22:L22"/>
    <mergeCell ref="A23:B23"/>
    <mergeCell ref="A34:B34"/>
    <mergeCell ref="A13:B13"/>
    <mergeCell ref="D13:E13"/>
    <mergeCell ref="G13:H13"/>
  </mergeCells>
  <conditionalFormatting sqref="A40">
    <cfRule type="expression" dxfId="1" priority="1">
      <formula>#REF!="Yes"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46169-80D2-4301-925F-9E078C108D7E}">
  <dimension ref="A3:N54"/>
  <sheetViews>
    <sheetView workbookViewId="0">
      <selection activeCell="H26" sqref="H26"/>
    </sheetView>
  </sheetViews>
  <sheetFormatPr defaultColWidth="9.140625" defaultRowHeight="15" x14ac:dyDescent="0.25"/>
  <cols>
    <col min="1" max="1" width="27.5703125" style="126" bestFit="1" customWidth="1"/>
    <col min="2" max="2" width="20.140625" style="136" customWidth="1"/>
    <col min="3" max="3" width="5.42578125" style="126" customWidth="1"/>
    <col min="4" max="4" width="29.5703125" style="126" customWidth="1"/>
    <col min="5" max="5" width="14.7109375" style="126" customWidth="1"/>
    <col min="6" max="6" width="11.85546875" style="126" customWidth="1"/>
    <col min="7" max="7" width="18.140625" style="126" customWidth="1"/>
    <col min="8" max="8" width="26.28515625" style="126" customWidth="1"/>
    <col min="9" max="9" width="15.5703125" style="126" customWidth="1"/>
    <col min="10" max="10" width="22.42578125" style="126" customWidth="1"/>
    <col min="11" max="11" width="23.42578125" style="126" customWidth="1"/>
    <col min="12" max="12" width="15.7109375" style="126" customWidth="1"/>
    <col min="13" max="13" width="15" style="126" customWidth="1"/>
    <col min="14" max="16384" width="9.140625" style="126"/>
  </cols>
  <sheetData>
    <row r="3" spans="1:14" x14ac:dyDescent="0.25">
      <c r="A3" s="143" t="s">
        <v>35</v>
      </c>
      <c r="B3" s="143" t="s">
        <v>62</v>
      </c>
      <c r="C3" s="144"/>
      <c r="D3" s="143" t="s">
        <v>47</v>
      </c>
      <c r="E3" s="143" t="s">
        <v>35</v>
      </c>
      <c r="F3" s="143" t="s">
        <v>52</v>
      </c>
      <c r="G3" s="143" t="s">
        <v>58</v>
      </c>
      <c r="H3" s="143" t="s">
        <v>154</v>
      </c>
      <c r="I3" s="143" t="s">
        <v>64</v>
      </c>
      <c r="J3" s="145" t="s">
        <v>123</v>
      </c>
      <c r="K3" s="143" t="s">
        <v>130</v>
      </c>
      <c r="L3" s="126" t="s">
        <v>132</v>
      </c>
      <c r="M3" s="143" t="s">
        <v>35</v>
      </c>
      <c r="N3" s="126" t="s">
        <v>144</v>
      </c>
    </row>
    <row r="4" spans="1:14" x14ac:dyDescent="0.25">
      <c r="A4" s="146" t="s">
        <v>48</v>
      </c>
      <c r="B4" s="147">
        <v>1.25</v>
      </c>
      <c r="C4" s="136"/>
      <c r="D4" s="146" t="s">
        <v>41</v>
      </c>
      <c r="E4" s="177">
        <f>IF($B$18="yes",L4,M4)</f>
        <v>1.25</v>
      </c>
      <c r="F4" s="146"/>
      <c r="G4" s="146" t="s">
        <v>50</v>
      </c>
      <c r="H4" s="146" t="s">
        <v>60</v>
      </c>
      <c r="I4" s="146" t="s">
        <v>151</v>
      </c>
      <c r="J4" s="148">
        <v>10</v>
      </c>
      <c r="K4" s="146">
        <v>1</v>
      </c>
      <c r="L4" s="177">
        <v>1.25</v>
      </c>
      <c r="M4" s="147">
        <v>1.25</v>
      </c>
    </row>
    <row r="5" spans="1:14" x14ac:dyDescent="0.25">
      <c r="A5" s="146" t="s">
        <v>36</v>
      </c>
      <c r="B5" s="147">
        <v>1.4</v>
      </c>
      <c r="C5" s="136"/>
      <c r="D5" s="146" t="s">
        <v>42</v>
      </c>
      <c r="E5" s="177">
        <f t="shared" ref="E5:E9" si="0">IF($B$18="yes",L5,M5)</f>
        <v>1.25</v>
      </c>
      <c r="F5" s="146"/>
      <c r="G5" s="146" t="s">
        <v>51</v>
      </c>
      <c r="H5" s="146" t="s">
        <v>155</v>
      </c>
      <c r="I5" s="146" t="s">
        <v>65</v>
      </c>
      <c r="J5" s="148">
        <v>11</v>
      </c>
      <c r="K5" s="146">
        <v>2</v>
      </c>
      <c r="L5" s="177">
        <f>IF(B24="No",B4,IF(B24="Yes",B5,""))</f>
        <v>1.25</v>
      </c>
      <c r="M5" s="147">
        <f>IF(B24="No",B4,IF(B24="Yes",B5,""))</f>
        <v>1.25</v>
      </c>
    </row>
    <row r="6" spans="1:14" x14ac:dyDescent="0.25">
      <c r="A6" s="146" t="s">
        <v>0</v>
      </c>
      <c r="B6" s="147">
        <v>1.45</v>
      </c>
      <c r="C6" s="136"/>
      <c r="D6" s="146" t="s">
        <v>43</v>
      </c>
      <c r="E6" s="177">
        <v>1.5</v>
      </c>
      <c r="F6" s="146"/>
      <c r="G6" s="136"/>
      <c r="H6" s="136"/>
      <c r="I6" s="146" t="s">
        <v>66</v>
      </c>
      <c r="J6" s="148">
        <v>12</v>
      </c>
      <c r="K6" s="146">
        <v>3</v>
      </c>
      <c r="L6" s="177">
        <v>1.5</v>
      </c>
      <c r="M6" s="147">
        <v>1.5</v>
      </c>
    </row>
    <row r="7" spans="1:14" x14ac:dyDescent="0.25">
      <c r="A7" s="146" t="s">
        <v>139</v>
      </c>
      <c r="B7" s="147">
        <v>1.4</v>
      </c>
      <c r="C7" s="136"/>
      <c r="D7" s="146" t="s">
        <v>156</v>
      </c>
      <c r="E7" s="177">
        <v>1.4</v>
      </c>
      <c r="F7" s="146"/>
      <c r="G7" s="136"/>
      <c r="H7" s="136"/>
      <c r="I7" s="146" t="s">
        <v>152</v>
      </c>
      <c r="J7" s="136"/>
      <c r="K7" s="146">
        <v>4</v>
      </c>
      <c r="L7" s="177"/>
      <c r="M7" s="147"/>
      <c r="N7" s="126" t="s">
        <v>127</v>
      </c>
    </row>
    <row r="8" spans="1:14" x14ac:dyDescent="0.25">
      <c r="A8" s="146" t="s">
        <v>66</v>
      </c>
      <c r="B8" s="147">
        <v>1.5</v>
      </c>
      <c r="C8" s="136"/>
      <c r="D8" s="146" t="s">
        <v>44</v>
      </c>
      <c r="E8" s="177">
        <f>IF($B$18="yes",L8,M8)</f>
        <v>1.5</v>
      </c>
      <c r="F8" s="146"/>
      <c r="G8" s="136"/>
      <c r="H8" s="136"/>
      <c r="I8" s="146" t="s">
        <v>144</v>
      </c>
      <c r="K8" s="136"/>
      <c r="L8" s="177">
        <f>IF(B24="No",B8,IF(B24="Yes",B9,""))</f>
        <v>1.5</v>
      </c>
      <c r="M8" s="147">
        <f>IF(B24="No",B8,IF(B24="Yes",B9,""))</f>
        <v>1.5</v>
      </c>
    </row>
    <row r="9" spans="1:14" x14ac:dyDescent="0.25">
      <c r="A9" s="146" t="s">
        <v>138</v>
      </c>
      <c r="B9" s="147">
        <v>1.65</v>
      </c>
      <c r="C9" s="136"/>
      <c r="D9" s="146" t="s">
        <v>45</v>
      </c>
      <c r="E9" s="177">
        <f t="shared" si="0"/>
        <v>1.45</v>
      </c>
      <c r="F9" s="146" t="s">
        <v>127</v>
      </c>
      <c r="G9" s="136"/>
      <c r="H9" s="136"/>
      <c r="I9" s="136"/>
      <c r="K9" s="136"/>
      <c r="L9" s="177">
        <v>1.45</v>
      </c>
      <c r="M9" s="147">
        <v>1.45</v>
      </c>
    </row>
    <row r="10" spans="1:14" x14ac:dyDescent="0.25">
      <c r="A10" s="146" t="s">
        <v>141</v>
      </c>
      <c r="B10" s="147">
        <v>1.6</v>
      </c>
      <c r="C10" s="136"/>
      <c r="D10" s="146" t="s">
        <v>46</v>
      </c>
      <c r="E10" s="177">
        <f>IF($B$18="yes",M10, L10)</f>
        <v>1.45</v>
      </c>
      <c r="F10" s="146" t="s">
        <v>127</v>
      </c>
      <c r="G10" s="136"/>
      <c r="H10" s="136"/>
      <c r="I10" s="136"/>
      <c r="L10" s="177">
        <f>IF(B24="No",B6,IF(B24="Yes",B10,""))</f>
        <v>1.45</v>
      </c>
      <c r="M10" s="147">
        <f>IF(B24="No",B6,IF(B24="Yes",B10,""))</f>
        <v>1.45</v>
      </c>
    </row>
    <row r="11" spans="1:14" x14ac:dyDescent="0.25">
      <c r="A11" s="136"/>
      <c r="C11" s="136"/>
      <c r="D11" s="136"/>
      <c r="E11" s="180"/>
      <c r="F11" s="136"/>
      <c r="G11" s="136"/>
      <c r="H11" s="136"/>
      <c r="I11" s="136"/>
    </row>
    <row r="13" spans="1:14" x14ac:dyDescent="0.25">
      <c r="A13" s="230" t="s">
        <v>15</v>
      </c>
      <c r="B13" s="231"/>
      <c r="D13" s="230" t="s">
        <v>63</v>
      </c>
      <c r="E13" s="231"/>
      <c r="G13" s="227" t="s">
        <v>55</v>
      </c>
      <c r="H13" s="227"/>
      <c r="J13" s="227" t="s">
        <v>92</v>
      </c>
      <c r="K13" s="227"/>
    </row>
    <row r="14" spans="1:14" x14ac:dyDescent="0.25">
      <c r="A14" s="149" t="s">
        <v>15</v>
      </c>
      <c r="B14" s="150">
        <f>SUM(B15+2%)</f>
        <v>0.02</v>
      </c>
      <c r="D14" s="151" t="s">
        <v>53</v>
      </c>
      <c r="E14" s="152">
        <f>IF(B25="Y",Main!E34,Main!E14)</f>
        <v>0</v>
      </c>
      <c r="G14" s="151" t="s">
        <v>86</v>
      </c>
      <c r="H14" s="152" t="e">
        <f>E17</f>
        <v>#N/A</v>
      </c>
      <c r="J14" s="149" t="s">
        <v>67</v>
      </c>
      <c r="K14" s="152">
        <f>E14</f>
        <v>0</v>
      </c>
    </row>
    <row r="15" spans="1:14" x14ac:dyDescent="0.25">
      <c r="A15" s="149" t="s">
        <v>37</v>
      </c>
      <c r="B15" s="153">
        <f>Main!H10</f>
        <v>0</v>
      </c>
      <c r="D15" s="154" t="s">
        <v>54</v>
      </c>
      <c r="E15" s="155" t="e">
        <f>VLOOKUP(Main!E6,$D$4:$E$11,2,FALSE)</f>
        <v>#N/A</v>
      </c>
      <c r="G15" s="151" t="s">
        <v>84</v>
      </c>
      <c r="H15" s="146" t="str">
        <f>IF(Main!H14&gt;1,"Y","N")</f>
        <v>N</v>
      </c>
      <c r="J15" s="149" t="s">
        <v>90</v>
      </c>
      <c r="K15" s="152" t="e">
        <f>E19*E15</f>
        <v>#N/A</v>
      </c>
    </row>
    <row r="16" spans="1:14" x14ac:dyDescent="0.25">
      <c r="A16" s="149" t="s">
        <v>140</v>
      </c>
      <c r="B16" s="153">
        <f>IF(IF(B15=0,0,Main!H10+2%)&gt;B14,B14,IF(B15=0,0,Main!H10+2%))</f>
        <v>0</v>
      </c>
      <c r="D16" s="151" t="s">
        <v>15</v>
      </c>
      <c r="E16" s="153">
        <f>B20</f>
        <v>0.02</v>
      </c>
      <c r="G16" s="151" t="s">
        <v>87</v>
      </c>
      <c r="H16" s="152" t="e">
        <f>IF(H15="Y",J32,H14)</f>
        <v>#N/A</v>
      </c>
      <c r="J16" s="149" t="s">
        <v>91</v>
      </c>
      <c r="K16" s="152" t="e">
        <f>IF(K15&lt;=K14,0,K15-K14)/12</f>
        <v>#N/A</v>
      </c>
    </row>
    <row r="17" spans="1:12" x14ac:dyDescent="0.25">
      <c r="A17" s="149" t="s">
        <v>38</v>
      </c>
      <c r="B17" s="150">
        <v>2.75E-2</v>
      </c>
      <c r="D17" s="151" t="s">
        <v>55</v>
      </c>
      <c r="E17" s="152" t="e">
        <f>(E14/E15)/E16</f>
        <v>#N/A</v>
      </c>
      <c r="G17" s="154" t="s">
        <v>55</v>
      </c>
      <c r="H17" s="156" t="e">
        <f>IF(Main!H14=1,Admin!H14,MIN(H16,H14))</f>
        <v>#N/A</v>
      </c>
      <c r="J17" s="227" t="s">
        <v>97</v>
      </c>
      <c r="K17" s="227"/>
    </row>
    <row r="18" spans="1:12" x14ac:dyDescent="0.25">
      <c r="A18" s="149" t="s">
        <v>40</v>
      </c>
      <c r="B18" s="157" t="str">
        <f>IF(Main!E10="5 Year Fixed","Yes","No")</f>
        <v>No</v>
      </c>
      <c r="D18" s="151" t="s">
        <v>56</v>
      </c>
      <c r="E18" s="152">
        <f>Main!E8+Main!E12</f>
        <v>0</v>
      </c>
      <c r="J18" s="149" t="s">
        <v>67</v>
      </c>
      <c r="K18" s="152">
        <f>F29</f>
        <v>0</v>
      </c>
    </row>
    <row r="19" spans="1:12" x14ac:dyDescent="0.25">
      <c r="A19" s="149" t="s">
        <v>61</v>
      </c>
      <c r="B19" s="146" t="str">
        <f>IF(Main!E10="Yes (Discount)","Yes","No")</f>
        <v>No</v>
      </c>
      <c r="D19" s="151" t="s">
        <v>96</v>
      </c>
      <c r="E19" s="152">
        <f>E18*B20</f>
        <v>0</v>
      </c>
      <c r="J19" s="149" t="s">
        <v>90</v>
      </c>
      <c r="K19" s="152" t="e">
        <f>I29*J29</f>
        <v>#N/A</v>
      </c>
    </row>
    <row r="20" spans="1:12" x14ac:dyDescent="0.25">
      <c r="A20" s="154" t="s">
        <v>39</v>
      </c>
      <c r="B20" s="158">
        <f>IF(B19="Yes",B16,IF(B18="Yes",MAX(B15,B17),B14))</f>
        <v>0.02</v>
      </c>
      <c r="D20" s="154" t="s">
        <v>57</v>
      </c>
      <c r="E20" s="178" t="e">
        <f>E14/E19</f>
        <v>#DIV/0!</v>
      </c>
      <c r="J20" s="159" t="s">
        <v>91</v>
      </c>
      <c r="K20" s="160" t="e">
        <f>IF(K19&lt;=K18,0,K19-K18)/12</f>
        <v>#N/A</v>
      </c>
    </row>
    <row r="21" spans="1:12" x14ac:dyDescent="0.25">
      <c r="A21" s="151" t="s">
        <v>124</v>
      </c>
      <c r="B21" s="161" t="str">
        <f>IF(OR(B18="Yes",B19="Yes"),"Yes","No")</f>
        <v>No</v>
      </c>
      <c r="D21" s="162"/>
      <c r="E21" s="163"/>
      <c r="J21" s="154" t="s">
        <v>91</v>
      </c>
      <c r="K21" s="156" t="e">
        <f>MAX(K20,K16)</f>
        <v>#N/A</v>
      </c>
    </row>
    <row r="22" spans="1:12" x14ac:dyDescent="0.25">
      <c r="D22" s="228" t="s">
        <v>84</v>
      </c>
      <c r="E22" s="228"/>
      <c r="F22" s="228"/>
      <c r="G22" s="228"/>
      <c r="H22" s="228"/>
      <c r="I22" s="228"/>
      <c r="J22" s="228"/>
      <c r="K22" s="228"/>
      <c r="L22" s="228"/>
    </row>
    <row r="23" spans="1:12" x14ac:dyDescent="0.25">
      <c r="A23" s="227" t="s">
        <v>89</v>
      </c>
      <c r="B23" s="227"/>
      <c r="D23" s="164" t="s">
        <v>68</v>
      </c>
      <c r="E23" s="165" t="s">
        <v>70</v>
      </c>
      <c r="F23" s="166" t="s">
        <v>71</v>
      </c>
      <c r="G23" s="166" t="s">
        <v>72</v>
      </c>
      <c r="H23" s="166" t="s">
        <v>77</v>
      </c>
      <c r="I23" s="166" t="s">
        <v>81</v>
      </c>
      <c r="J23" s="166" t="s">
        <v>78</v>
      </c>
      <c r="K23" s="166" t="s">
        <v>79</v>
      </c>
      <c r="L23" s="166" t="s">
        <v>85</v>
      </c>
    </row>
    <row r="24" spans="1:12" x14ac:dyDescent="0.25">
      <c r="A24" s="151" t="s">
        <v>49</v>
      </c>
      <c r="B24" s="146" t="str">
        <f>IF(OR(Main!E21="Higher","Yes",Main!H21="Higher"),"Yes","No")</f>
        <v>No</v>
      </c>
      <c r="D24" s="151" t="s">
        <v>69</v>
      </c>
      <c r="E24" s="152">
        <f>Main!E8</f>
        <v>0</v>
      </c>
      <c r="F24" s="152">
        <f>E14</f>
        <v>0</v>
      </c>
      <c r="G24" s="153">
        <f>E16</f>
        <v>0.02</v>
      </c>
      <c r="H24" s="146">
        <f>Main!E6</f>
        <v>0</v>
      </c>
      <c r="I24" s="152">
        <f>E24*G24</f>
        <v>0</v>
      </c>
      <c r="J24" s="167" t="e">
        <f>E15</f>
        <v>#N/A</v>
      </c>
      <c r="K24" s="152" t="e">
        <f>(E24*G24)*J24</f>
        <v>#N/A</v>
      </c>
      <c r="L24" s="168" t="e">
        <f>E20</f>
        <v>#DIV/0!</v>
      </c>
    </row>
    <row r="25" spans="1:12" x14ac:dyDescent="0.25">
      <c r="A25" s="151" t="s">
        <v>52</v>
      </c>
      <c r="B25" s="146" t="str">
        <f>IFERROR(VLOOKUP(Main!E6,Admin!D4:F10,3,FALSE),"")</f>
        <v/>
      </c>
      <c r="D25" s="151" t="s">
        <v>73</v>
      </c>
      <c r="E25" s="152">
        <f>Main!E42</f>
        <v>0</v>
      </c>
      <c r="F25" s="152">
        <f>Main!G42</f>
        <v>0</v>
      </c>
      <c r="G25" s="153">
        <f>Main!I42+2%</f>
        <v>0.02</v>
      </c>
      <c r="H25" s="146">
        <f>Main!H42</f>
        <v>0</v>
      </c>
      <c r="I25" s="152">
        <f>E25*G25</f>
        <v>0</v>
      </c>
      <c r="J25" s="167" t="str">
        <f>IF(H25="Standard",$E$5,IF(H25="HMO",$E$8,
IF(H25="Holiday",$E$10,
IF(H25="Ltd Co",$E$4,
IF(H25="Expat",$E$7,
IF(H25="No",$E$5,""))))))</f>
        <v/>
      </c>
      <c r="K25" s="152" t="str">
        <f>IF(E25=0,"",(E25*G25)*J25)</f>
        <v/>
      </c>
      <c r="L25" s="168" t="str">
        <f>IFERROR(F25/I25,"")</f>
        <v/>
      </c>
    </row>
    <row r="26" spans="1:12" x14ac:dyDescent="0.25">
      <c r="A26" s="151" t="s">
        <v>129</v>
      </c>
      <c r="B26" s="146" t="str">
        <f>IF(ISNUMBER(SEARCH("Personal",B36)),"Y","N")</f>
        <v>N</v>
      </c>
      <c r="D26" s="151" t="s">
        <v>74</v>
      </c>
      <c r="E26" s="152">
        <f>Main!E43</f>
        <v>0</v>
      </c>
      <c r="F26" s="152">
        <f>Main!G43</f>
        <v>0</v>
      </c>
      <c r="G26" s="153">
        <f>Main!I43+2%</f>
        <v>0.02</v>
      </c>
      <c r="H26" s="146">
        <f>Main!H43</f>
        <v>0</v>
      </c>
      <c r="I26" s="152">
        <f>E26*G26</f>
        <v>0</v>
      </c>
      <c r="J26" s="167" t="str">
        <f>IF(H26="Standard",$E$5,IF(H26="HMO",$E$8,
IF(H26="Holiday",$E$10,
IF(H26="Ltd Co",$E$4,
IF(H26="Expat",$E$7,
IF(H26="No",$E$5,""))))))</f>
        <v/>
      </c>
      <c r="K26" s="152" t="str">
        <f>IF(E26=0,"",(E26*G26)*J26)</f>
        <v/>
      </c>
      <c r="L26" s="168" t="str">
        <f t="shared" ref="L26:L28" si="1">IFERROR(F26/I26,"")</f>
        <v/>
      </c>
    </row>
    <row r="27" spans="1:12" x14ac:dyDescent="0.25">
      <c r="A27" s="151" t="s">
        <v>128</v>
      </c>
      <c r="B27" s="146" t="str">
        <f>IF(Main!H14&gt;1,"Y","N")</f>
        <v>N</v>
      </c>
      <c r="D27" s="151" t="s">
        <v>75</v>
      </c>
      <c r="E27" s="152">
        <f>Main!E44</f>
        <v>0</v>
      </c>
      <c r="F27" s="152">
        <f>Main!G44</f>
        <v>0</v>
      </c>
      <c r="G27" s="153">
        <f>Main!I44+2%</f>
        <v>0.02</v>
      </c>
      <c r="H27" s="146">
        <f>Main!H44</f>
        <v>0</v>
      </c>
      <c r="I27" s="152">
        <f>E27*G27</f>
        <v>0</v>
      </c>
      <c r="J27" s="167" t="str">
        <f>IF(H27="Standard",$E$5,IF(H27="HMO",$E$8,
IF(H27="Holiday",$E$10,
IF(H27="LtdCo",$E$4,
IF(H27="Expat",$E$7,
IF(H27="No",$E$5,""))))))</f>
        <v/>
      </c>
      <c r="K27" s="152" t="str">
        <f>IF(E27=0,"",(E27*G27)*J27)</f>
        <v/>
      </c>
      <c r="L27" s="168" t="str">
        <f t="shared" si="1"/>
        <v/>
      </c>
    </row>
    <row r="28" spans="1:12" x14ac:dyDescent="0.25">
      <c r="A28" s="151" t="s">
        <v>144</v>
      </c>
      <c r="B28" s="146" t="b">
        <f>IF(Main!E6="BTL - Expat (inc Ltd Co)", "Yes")</f>
        <v>0</v>
      </c>
      <c r="D28" s="151" t="s">
        <v>76</v>
      </c>
      <c r="E28" s="152">
        <f>Main!E45</f>
        <v>0</v>
      </c>
      <c r="F28" s="152">
        <f>Main!G45</f>
        <v>0</v>
      </c>
      <c r="G28" s="153">
        <f>Main!I45+2%</f>
        <v>0.02</v>
      </c>
      <c r="H28" s="146">
        <f>Main!H45</f>
        <v>0</v>
      </c>
      <c r="I28" s="152">
        <f>E28*G28</f>
        <v>0</v>
      </c>
      <c r="J28" s="167" t="str">
        <f>IF(H28="Standard",$E$5,IF(H28="HMO",$E$8,
IF(H28="Holiday",$E$10,
IF(H28="LtdCo",$E$4,
IF(H28="Expat",$E$7,
IF(H28="No",$E$5,""))))))</f>
        <v/>
      </c>
      <c r="K28" s="152" t="str">
        <f>IF(E28=0,"",(E28*G28)*J28)</f>
        <v/>
      </c>
      <c r="L28" s="168" t="str">
        <f t="shared" si="1"/>
        <v/>
      </c>
    </row>
    <row r="29" spans="1:12" x14ac:dyDescent="0.25">
      <c r="D29" s="151" t="s">
        <v>80</v>
      </c>
      <c r="E29" s="169">
        <f>SUM(E24:E28)</f>
        <v>0</v>
      </c>
      <c r="F29" s="169">
        <f>SUM(F24:F28)</f>
        <v>0</v>
      </c>
      <c r="G29" s="161" t="e">
        <f>I29/E29</f>
        <v>#DIV/0!</v>
      </c>
      <c r="H29" s="146"/>
      <c r="I29" s="169">
        <f>SUM(I24:I28)</f>
        <v>0</v>
      </c>
      <c r="J29" s="167" t="e">
        <f>K29/I29</f>
        <v>#N/A</v>
      </c>
      <c r="K29" s="169" t="e">
        <f>SUM(K24:K28)</f>
        <v>#N/A</v>
      </c>
      <c r="L29" s="149"/>
    </row>
    <row r="30" spans="1:12" x14ac:dyDescent="0.25">
      <c r="I30" s="166" t="s">
        <v>82</v>
      </c>
      <c r="J30" s="167" t="e">
        <f>F29/I29</f>
        <v>#DIV/0!</v>
      </c>
    </row>
    <row r="31" spans="1:12" ht="15.75" thickBot="1" x14ac:dyDescent="0.3">
      <c r="I31" s="166" t="s">
        <v>83</v>
      </c>
      <c r="J31" s="152" t="e">
        <f>F29-K29</f>
        <v>#N/A</v>
      </c>
    </row>
    <row r="32" spans="1:12" ht="15.75" thickBot="1" x14ac:dyDescent="0.3">
      <c r="A32" s="175" t="s">
        <v>122</v>
      </c>
      <c r="B32" s="181" t="s">
        <v>131</v>
      </c>
      <c r="I32" s="170" t="s">
        <v>55</v>
      </c>
      <c r="J32" s="171" t="e">
        <f>((F29/G29)/J29)-SUM(E25:E28)</f>
        <v>#DIV/0!</v>
      </c>
    </row>
    <row r="34" spans="1:4" x14ac:dyDescent="0.25">
      <c r="A34" s="232" t="s">
        <v>109</v>
      </c>
      <c r="B34" s="232"/>
    </row>
    <row r="35" spans="1:4" x14ac:dyDescent="0.25">
      <c r="A35" s="118" t="s">
        <v>3</v>
      </c>
      <c r="B35" s="146"/>
      <c r="C35" s="146" t="s">
        <v>108</v>
      </c>
      <c r="D35" s="149"/>
    </row>
    <row r="36" spans="1:4" x14ac:dyDescent="0.25">
      <c r="A36" s="119" t="s">
        <v>4</v>
      </c>
      <c r="B36" s="172">
        <f>Main!E6</f>
        <v>0</v>
      </c>
      <c r="C36" s="146" t="str">
        <f t="shared" ref="C36:C43" si="2">IF(B36=0,"N","Y")</f>
        <v>N</v>
      </c>
      <c r="D36" s="149" t="str">
        <f>IF(C36="N","BTL Type Missing -","")</f>
        <v>BTL Type Missing -</v>
      </c>
    </row>
    <row r="37" spans="1:4" x14ac:dyDescent="0.25">
      <c r="A37" s="119" t="s">
        <v>5</v>
      </c>
      <c r="B37" s="146">
        <f>Main!E8</f>
        <v>0</v>
      </c>
      <c r="C37" s="146" t="str">
        <f t="shared" si="2"/>
        <v>N</v>
      </c>
      <c r="D37" s="149" t="str">
        <f>IF(C37="N","Mortgage Amount Missing -","")</f>
        <v>Mortgage Amount Missing -</v>
      </c>
    </row>
    <row r="38" spans="1:4" x14ac:dyDescent="0.25">
      <c r="A38" s="119" t="s">
        <v>59</v>
      </c>
      <c r="B38" s="146">
        <f>Main!E10</f>
        <v>0</v>
      </c>
      <c r="C38" s="146" t="str">
        <f t="shared" si="2"/>
        <v>N</v>
      </c>
      <c r="D38" s="149" t="str">
        <f>IF(C38="N","Product Type Missing -","")</f>
        <v>Product Type Missing -</v>
      </c>
    </row>
    <row r="39" spans="1:4" x14ac:dyDescent="0.25">
      <c r="A39" s="119" t="s">
        <v>9</v>
      </c>
      <c r="B39" s="146">
        <f>Main!E12</f>
        <v>0</v>
      </c>
      <c r="C39" s="146" t="str">
        <f>IF(B39="","N","Y")</f>
        <v>Y</v>
      </c>
      <c r="D39" s="149" t="str">
        <f>IF(C39="N","Product Fee Missing -","")</f>
        <v/>
      </c>
    </row>
    <row r="40" spans="1:4" x14ac:dyDescent="0.25">
      <c r="A40" s="119" t="s">
        <v>11</v>
      </c>
      <c r="B40" s="176">
        <f>Main!E8</f>
        <v>0</v>
      </c>
      <c r="C40" s="146" t="str">
        <f>IF(OR(B40="",B40=0),"N","Y")</f>
        <v>N</v>
      </c>
      <c r="D40" s="149" t="str">
        <f>IF(C40="N","Mortgage Amount Missing -","")</f>
        <v>Mortgage Amount Missing -</v>
      </c>
    </row>
    <row r="41" spans="1:4" x14ac:dyDescent="0.25">
      <c r="A41" s="173" t="s">
        <v>6</v>
      </c>
      <c r="B41" s="146">
        <f>Main!H8</f>
        <v>0</v>
      </c>
      <c r="C41" s="146" t="str">
        <f t="shared" si="2"/>
        <v>N</v>
      </c>
      <c r="D41" s="149" t="str">
        <f>IF(C41="N","Property Value Missing -","")</f>
        <v>Property Value Missing -</v>
      </c>
    </row>
    <row r="42" spans="1:4" x14ac:dyDescent="0.25">
      <c r="A42" s="173" t="s">
        <v>7</v>
      </c>
      <c r="B42" s="153">
        <f>Main!H10</f>
        <v>0</v>
      </c>
      <c r="C42" s="146" t="str">
        <f>IF(AND(B42=0,B21="Yes"),"N","Y")</f>
        <v>Y</v>
      </c>
      <c r="D42" s="149" t="str">
        <f>IF(C42="N","Product Rate Missing -","")</f>
        <v/>
      </c>
    </row>
    <row r="43" spans="1:4" x14ac:dyDescent="0.25">
      <c r="A43" s="173" t="s">
        <v>12</v>
      </c>
      <c r="B43" s="157">
        <f>Main!H14</f>
        <v>0</v>
      </c>
      <c r="C43" s="146" t="str">
        <f t="shared" si="2"/>
        <v>N</v>
      </c>
      <c r="D43" s="149" t="str">
        <f>IF(C43="N","No. properties Missing -","")</f>
        <v>No. properties Missing -</v>
      </c>
    </row>
    <row r="44" spans="1:4" x14ac:dyDescent="0.25">
      <c r="A44" s="173" t="s">
        <v>110</v>
      </c>
      <c r="B44" s="146">
        <f>Main!E21</f>
        <v>0</v>
      </c>
      <c r="C44" s="174" t="str">
        <f>IF(B26="N","Y",IF(B44=0,"N","Y"))</f>
        <v>Y</v>
      </c>
      <c r="D44" s="149" t="str">
        <f>IF(C44="N","Applicant 1 Tax Position -","")</f>
        <v/>
      </c>
    </row>
    <row r="45" spans="1:4" x14ac:dyDescent="0.25">
      <c r="A45" s="173" t="s">
        <v>111</v>
      </c>
      <c r="B45" s="146" t="s">
        <v>108</v>
      </c>
      <c r="C45" s="146" t="s">
        <v>108</v>
      </c>
      <c r="D45" s="149"/>
    </row>
    <row r="46" spans="1:4" x14ac:dyDescent="0.25">
      <c r="A46" s="173" t="s">
        <v>112</v>
      </c>
      <c r="B46" s="146">
        <f>Main!E31</f>
        <v>0</v>
      </c>
      <c r="C46" s="146" t="str">
        <f>IF(AND($B$25="Y",B46&gt;0),"Y",IF($B$25&lt;&gt;"Y","Y","N"))</f>
        <v>Y</v>
      </c>
      <c r="D46" s="149" t="str">
        <f>IF(C46="N","Holiday Let Income Missing -","")</f>
        <v/>
      </c>
    </row>
    <row r="47" spans="1:4" x14ac:dyDescent="0.25">
      <c r="A47" s="173" t="s">
        <v>113</v>
      </c>
      <c r="B47" s="146">
        <f>Main!E32</f>
        <v>0</v>
      </c>
      <c r="C47" s="146" t="str">
        <f>IF(AND($B$25="Y",B47&gt;0),"Y",IF($B$25&lt;&gt;"Y","Y","N"))</f>
        <v>Y</v>
      </c>
      <c r="D47" s="149" t="str">
        <f>IF(C47="N","Holiday Let Income Missing -","")</f>
        <v/>
      </c>
    </row>
    <row r="48" spans="1:4" x14ac:dyDescent="0.25">
      <c r="A48" s="173" t="s">
        <v>114</v>
      </c>
      <c r="B48" s="146">
        <f>Main!E33</f>
        <v>0</v>
      </c>
      <c r="C48" s="146" t="str">
        <f>IF(AND($B$25="Y",B48&gt;0),"Y",IF($B$25&lt;&gt;"Y","Y","N"))</f>
        <v>Y</v>
      </c>
      <c r="D48" s="149" t="str">
        <f>IF(C48="N","Holiday Let Income Missing -","")</f>
        <v/>
      </c>
    </row>
    <row r="49" spans="1:4" x14ac:dyDescent="0.25">
      <c r="A49" s="173" t="s">
        <v>115</v>
      </c>
      <c r="B49" s="146">
        <f>COUNTA(Main!D42:H42)</f>
        <v>0</v>
      </c>
      <c r="C49" s="146" t="str">
        <f>IF(AND(Main!H14&gt;1,Admin!B49&lt;5),"N","Y")</f>
        <v>Y</v>
      </c>
      <c r="D49" s="149" t="str">
        <f>IF(C49="N","Portfolio Details Missing -","")</f>
        <v/>
      </c>
    </row>
    <row r="50" spans="1:4" x14ac:dyDescent="0.25">
      <c r="A50" s="173" t="s">
        <v>116</v>
      </c>
      <c r="B50" s="146">
        <f>COUNTA(Main!D43:H43)</f>
        <v>0</v>
      </c>
      <c r="C50" s="146" t="str">
        <f>IF(AND($B$43&lt;=2,B50=0),"Y",IF(AND($B$43&gt;1,B50=5),"Y","N"))</f>
        <v>Y</v>
      </c>
      <c r="D50" s="149" t="str">
        <f>IF(C50="N","Portfolio Details Missing -","")</f>
        <v/>
      </c>
    </row>
    <row r="51" spans="1:4" x14ac:dyDescent="0.25">
      <c r="A51" s="173" t="s">
        <v>117</v>
      </c>
      <c r="B51" s="146">
        <f>COUNTA(Main!D44:H44)</f>
        <v>0</v>
      </c>
      <c r="C51" s="146" t="str">
        <f>IF(AND($B$43&lt;=3,B51=0),"Y",IF(AND($B$43&gt;1,B51=5),"Y","N"))</f>
        <v>Y</v>
      </c>
      <c r="D51" s="149" t="str">
        <f>IF(C51="N","Portfolio Details Missing -","")</f>
        <v/>
      </c>
    </row>
    <row r="52" spans="1:4" x14ac:dyDescent="0.25">
      <c r="A52" s="173" t="s">
        <v>118</v>
      </c>
      <c r="B52" s="146">
        <f>COUNTA(Main!D45:H45)</f>
        <v>0</v>
      </c>
      <c r="C52" s="146" t="str">
        <f>IF(AND($B$43&lt;=4,B52=0),"Y",IF(AND($B$43&gt;1,B52=5),"Y","N"))</f>
        <v>Y</v>
      </c>
      <c r="D52" s="149" t="str">
        <f>IF(C52="N","Portfolio Details Missing -","")</f>
        <v/>
      </c>
    </row>
    <row r="53" spans="1:4" x14ac:dyDescent="0.25">
      <c r="A53" s="173" t="s">
        <v>10</v>
      </c>
      <c r="B53" s="146" t="str">
        <f>Main!H12</f>
        <v/>
      </c>
      <c r="C53" s="146" t="str">
        <f>IF(B53="","",IF(B53&gt;0.75,"N","Y"))</f>
        <v/>
      </c>
      <c r="D53" s="149" t="str">
        <f>IF(C53="N","       LTV too high -","")</f>
        <v/>
      </c>
    </row>
    <row r="54" spans="1:4" x14ac:dyDescent="0.25">
      <c r="B54" s="136" t="s">
        <v>119</v>
      </c>
      <c r="C54" s="136">
        <f>COUNTIF(C35:C53,"N")</f>
        <v>6</v>
      </c>
      <c r="D54" s="126" t="str">
        <f>CONCATENATE(D37,"  ",D38,"  ",D39,"  ",D40,"  ",D41,"  ",D42,"  ",D43,"  ",D44,"  ",D45,"  ",D46,"  ",D47,"  ",D48,"  ",D49,"  ",D50,"  ",D51,"  ",D52," ",D53)</f>
        <v xml:space="preserve">Mortgage Amount Missing -  Product Type Missing -    Mortgage Amount Missing -  Property Value Missing -    No. properties Missing -                   </v>
      </c>
    </row>
  </sheetData>
  <sheetProtection algorithmName="SHA-512" hashValue="idZuLkgsj+mddpiHT9fFRySmJngWIMSh35cje1Xi9+N7aMfH04JCBtvdL4hz+LyV/FDDPDusvMKHm2gGz1Dzkw==" saltValue="chlYp5ZoDfQ22Ch/zovdjA==" spinCount="100000" sheet="1" objects="1" scenarios="1"/>
  <mergeCells count="8">
    <mergeCell ref="A34:B34"/>
    <mergeCell ref="A13:B13"/>
    <mergeCell ref="D13:E13"/>
    <mergeCell ref="G13:H13"/>
    <mergeCell ref="D22:L22"/>
    <mergeCell ref="A23:B23"/>
    <mergeCell ref="J13:K13"/>
    <mergeCell ref="J17:K17"/>
  </mergeCells>
  <phoneticPr fontId="20" type="noConversion"/>
  <conditionalFormatting sqref="A40">
    <cfRule type="expression" dxfId="0" priority="1">
      <formula>#REF!="Yes"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75573-AD59-4499-8564-F355CFA7A09C}">
  <dimension ref="A2:C13"/>
  <sheetViews>
    <sheetView topLeftCell="A10" workbookViewId="0">
      <selection activeCell="B18" sqref="B18"/>
    </sheetView>
  </sheetViews>
  <sheetFormatPr defaultRowHeight="15" x14ac:dyDescent="0.25"/>
  <cols>
    <col min="1" max="1" width="31.85546875" customWidth="1"/>
    <col min="2" max="2" width="11.7109375" style="116" customWidth="1"/>
    <col min="3" max="3" width="71.28515625" customWidth="1"/>
  </cols>
  <sheetData>
    <row r="2" spans="1:3" x14ac:dyDescent="0.25">
      <c r="A2" s="103" t="s">
        <v>47</v>
      </c>
      <c r="B2" s="113" t="s">
        <v>35</v>
      </c>
      <c r="C2" s="103" t="s">
        <v>100</v>
      </c>
    </row>
    <row r="3" spans="1:3" x14ac:dyDescent="0.25">
      <c r="A3" s="112" t="s">
        <v>101</v>
      </c>
      <c r="B3" s="114">
        <v>1.25</v>
      </c>
      <c r="C3" s="110" t="s">
        <v>102</v>
      </c>
    </row>
    <row r="4" spans="1:3" ht="105" x14ac:dyDescent="0.25">
      <c r="A4" s="112" t="s">
        <v>41</v>
      </c>
      <c r="B4" s="115">
        <v>1.25</v>
      </c>
      <c r="C4" s="111" t="s">
        <v>134</v>
      </c>
    </row>
    <row r="5" spans="1:3" ht="120" x14ac:dyDescent="0.25">
      <c r="A5" s="112" t="s">
        <v>98</v>
      </c>
      <c r="B5" s="115">
        <v>1.25</v>
      </c>
      <c r="C5" s="111" t="s">
        <v>135</v>
      </c>
    </row>
    <row r="6" spans="1:3" ht="75" x14ac:dyDescent="0.25">
      <c r="A6" s="112" t="s">
        <v>99</v>
      </c>
      <c r="B6" s="115">
        <v>1.4</v>
      </c>
      <c r="C6" s="111" t="s">
        <v>136</v>
      </c>
    </row>
    <row r="7" spans="1:3" ht="90" x14ac:dyDescent="0.25">
      <c r="A7" s="112" t="s">
        <v>43</v>
      </c>
      <c r="B7" s="115">
        <v>1.5</v>
      </c>
      <c r="C7" s="111" t="s">
        <v>105</v>
      </c>
    </row>
    <row r="8" spans="1:3" ht="90" x14ac:dyDescent="0.25">
      <c r="A8" s="112" t="s">
        <v>103</v>
      </c>
      <c r="B8" s="115">
        <v>1.5</v>
      </c>
      <c r="C8" s="111" t="s">
        <v>106</v>
      </c>
    </row>
    <row r="9" spans="1:3" ht="90" x14ac:dyDescent="0.25">
      <c r="A9" s="112" t="s">
        <v>104</v>
      </c>
      <c r="B9" s="115">
        <v>1.65</v>
      </c>
      <c r="C9" s="111" t="s">
        <v>137</v>
      </c>
    </row>
    <row r="10" spans="1:3" ht="75" x14ac:dyDescent="0.25">
      <c r="A10" s="112" t="s">
        <v>45</v>
      </c>
      <c r="B10" s="115">
        <v>1.45</v>
      </c>
      <c r="C10" s="111" t="s">
        <v>107</v>
      </c>
    </row>
    <row r="11" spans="1:3" ht="90" x14ac:dyDescent="0.25">
      <c r="A11" s="112" t="s">
        <v>145</v>
      </c>
      <c r="B11" s="115">
        <v>1.45</v>
      </c>
      <c r="C11" s="111" t="s">
        <v>146</v>
      </c>
    </row>
    <row r="12" spans="1:3" ht="90" x14ac:dyDescent="0.25">
      <c r="A12" s="112" t="s">
        <v>158</v>
      </c>
      <c r="B12" s="115">
        <v>1.6</v>
      </c>
      <c r="C12" s="111" t="s">
        <v>147</v>
      </c>
    </row>
    <row r="13" spans="1:3" ht="30" x14ac:dyDescent="0.25">
      <c r="A13" s="112" t="s">
        <v>148</v>
      </c>
      <c r="B13" s="115">
        <v>1.4</v>
      </c>
      <c r="C13" s="183" t="s">
        <v>149</v>
      </c>
    </row>
  </sheetData>
  <sheetProtection algorithmName="SHA-512" hashValue="ILrCwRL8nEW7Atc8zLLchooursfa0IoJfuFlFLEWjwDejzm44anvMQ77HBCoPigMIPTinDSXwMq8cINgyrXHcw==" saltValue="5C9A0NGgskrR1hWGMwdOfg==" spinCount="100000" sheet="1" objects="1" scenario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A05E04E81FDA349B61E7B51E8FE92A9" ma:contentTypeVersion="19" ma:contentTypeDescription="Create a new document." ma:contentTypeScope="" ma:versionID="7035f7c3efe885cb5624bd08c49ef1cd">
  <xsd:schema xmlns:xsd="http://www.w3.org/2001/XMLSchema" xmlns:xs="http://www.w3.org/2001/XMLSchema" xmlns:p="http://schemas.microsoft.com/office/2006/metadata/properties" xmlns:ns2="ecbf433c-beae-48a7-ab83-9a2adc028536" xmlns:ns3="f6f744e5-078d-4e0d-a236-a68db55ec48b" targetNamespace="http://schemas.microsoft.com/office/2006/metadata/properties" ma:root="true" ma:fieldsID="302badd96410d238f023737a860d9243" ns2:_="" ns3:_="">
    <xsd:import namespace="ecbf433c-beae-48a7-ab83-9a2adc028536"/>
    <xsd:import namespace="f6f744e5-078d-4e0d-a236-a68db55ec48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SearchProperties" minOccurs="0"/>
                <xsd:element ref="ns3:MediaServiceObjectDetectorVersion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bf433c-beae-48a7-ab83-9a2adc02853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6e0c2c8-c97c-446c-86bc-b7d685d60a67}" ma:internalName="TaxCatchAll" ma:showField="CatchAllData" ma:web="ecbf433c-beae-48a7-ab83-9a2adc0285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f744e5-078d-4e0d-a236-a68db55ec4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6dbcdd10-d82f-4626-aea2-26312b52355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6f744e5-078d-4e0d-a236-a68db55ec48b">
      <Terms xmlns="http://schemas.microsoft.com/office/infopath/2007/PartnerControls"/>
    </lcf76f155ced4ddcb4097134ff3c332f>
    <TaxCatchAll xmlns="ecbf433c-beae-48a7-ab83-9a2adc028536" xsi:nil="true"/>
    <SharedWithUsers xmlns="ecbf433c-beae-48a7-ab83-9a2adc028536">
      <UserInfo>
        <DisplayName>svcMSFlow</DisplayName>
        <AccountId>515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40E6C087-4877-47CB-8618-8798A401BF6E}"/>
</file>

<file path=customXml/itemProps2.xml><?xml version="1.0" encoding="utf-8"?>
<ds:datastoreItem xmlns:ds="http://schemas.openxmlformats.org/officeDocument/2006/customXml" ds:itemID="{2348A377-ED50-46FB-98D1-156AADB3B5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318F438-C0C5-4549-9C16-76AF186CBFE2}">
  <ds:schemaRefs>
    <ds:schemaRef ds:uri="f6f744e5-078d-4e0d-a236-a68db55ec48b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  <ds:schemaRef ds:uri="ecbf433c-beae-48a7-ab83-9a2adc028536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Metadata/LabelInfo.xml><?xml version="1.0" encoding="utf-8"?>
<clbl:labelList xmlns:clbl="http://schemas.microsoft.com/office/2020/mipLabelMetadata">
  <clbl:label id="{605212d6-8beb-449b-ad74-f05c210cdfc3}" enabled="1" method="Privileged" siteId="{d4565481-47f5-4a0d-a1dd-6efdad1083da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Main</vt:lpstr>
      <vt:lpstr>Calculations</vt:lpstr>
      <vt:lpstr>Admin</vt:lpstr>
      <vt:lpstr>ICR Types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Barrie Brain</dc:creator>
  <cp:lastModifiedBy>Adrian Brocklehurst</cp:lastModifiedBy>
  <dcterms:created xsi:type="dcterms:W3CDTF">2022-06-13T11:04:42Z</dcterms:created>
  <dcterms:modified xsi:type="dcterms:W3CDTF">2025-12-10T13:08:05Z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0x010100AA05E04E81FDA349B61E7B51E8FE92A9</vt:lpwstr>
  </property>
  <property fmtid="{D5CDD505-2E9C-101B-9397-08002B2CF9AE}" pid="3" name="MediaServiceImageTags">
    <vt:lpwstr/>
  </property>
  <property fmtid="{D5CDD505-2E9C-101B-9397-08002B2CF9AE}" pid="4" name="MSIP_Label_605212d6-8beb-449b-ad74-f05c210cdfc3_Enabled">
    <vt:lpwstr>true</vt:lpwstr>
  </property>
  <property fmtid="{D5CDD505-2E9C-101B-9397-08002B2CF9AE}" pid="5" name="MSIP_Label_605212d6-8beb-449b-ad74-f05c210cdfc3_SetDate">
    <vt:lpwstr>2025-11-05T11:21:56Z</vt:lpwstr>
  </property>
  <property fmtid="{D5CDD505-2E9C-101B-9397-08002B2CF9AE}" pid="6" name="MSIP_Label_605212d6-8beb-449b-ad74-f05c210cdfc3_Method">
    <vt:lpwstr>Standard</vt:lpwstr>
  </property>
  <property fmtid="{D5CDD505-2E9C-101B-9397-08002B2CF9AE}" pid="7" name="MSIP_Label_605212d6-8beb-449b-ad74-f05c210cdfc3_Name">
    <vt:lpwstr>605212d6-8beb-449b-ad74-f05c210cdfc3</vt:lpwstr>
  </property>
  <property fmtid="{D5CDD505-2E9C-101B-9397-08002B2CF9AE}" pid="8" name="MSIP_Label_605212d6-8beb-449b-ad74-f05c210cdfc3_SiteId">
    <vt:lpwstr>d4565481-47f5-4a0d-a1dd-6efdad1083da</vt:lpwstr>
  </property>
  <property fmtid="{D5CDD505-2E9C-101B-9397-08002B2CF9AE}" pid="9" name="MSIP_Label_605212d6-8beb-449b-ad74-f05c210cdfc3_ActionId">
    <vt:lpwstr>5055afb5-fc6a-4806-b9b4-98eaeb72c897</vt:lpwstr>
  </property>
  <property fmtid="{D5CDD505-2E9C-101B-9397-08002B2CF9AE}" pid="10" name="MSIP_Label_605212d6-8beb-449b-ad74-f05c210cdfc3_ContentBits">
    <vt:lpwstr>0</vt:lpwstr>
  </property>
  <property fmtid="{D5CDD505-2E9C-101B-9397-08002B2CF9AE}" pid="11" name="MSIP_Label_605212d6-8beb-449b-ad74-f05c210cdfc3_Owner">
    <vt:lpwstr>Barrie.Brain@thevernon.co.uk</vt:lpwstr>
  </property>
  <property fmtid="{D5CDD505-2E9C-101B-9397-08002B2CF9AE}" pid="12" name="MSIP_Label_605212d6-8beb-449b-ad74-f05c210cdfc3_Application">
    <vt:lpwstr>Microsoft Azure Information Protection</vt:lpwstr>
  </property>
  <property fmtid="{D5CDD505-2E9C-101B-9397-08002B2CF9AE}" pid="13" name="Sensitivity">
    <vt:lpwstr>General</vt:lpwstr>
  </property>
  <property fmtid="{D5CDD505-2E9C-101B-9397-08002B2CF9AE}" pid="14" name="MSIP_Label_605212d6-8beb-449b-ad74-f05c210cdfc3_Extended_MSFT_Method">
    <vt:lpwstr>Automatic</vt:lpwstr>
  </property>
</Properties>
</file>